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7\"/>
    </mc:Choice>
  </mc:AlternateContent>
  <xr:revisionPtr revIDLastSave="0" documentId="13_ncr:1_{F5D1758A-2815-4FF7-950E-3F95BD00154E}" xr6:coauthVersionLast="47" xr6:coauthVersionMax="47" xr10:uidLastSave="{00000000-0000-0000-0000-000000000000}"/>
  <bookViews>
    <workbookView xWindow="-98" yWindow="-98" windowWidth="19396" windowHeight="10395" firstSheet="8" activeTab="18" xr2:uid="{E87EF1DB-B078-4302-AA96-72D0B351248D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state="hidden" r:id="rId6"/>
    <sheet name="V" sheetId="144" state="hidden" r:id="rId7"/>
    <sheet name="Resumé" sheetId="147" state="hidden" r:id="rId8"/>
    <sheet name="Příjmy kapitol celkem" sheetId="1" r:id="rId9"/>
    <sheet name="Výdaje kapitol celkem" sheetId="4" r:id="rId10"/>
    <sheet name="Výdaje kapitol celkem (2)" sheetId="130" state="hidden" r:id="rId11"/>
    <sheet name="TSÚ" sheetId="75" state="hidden" r:id="rId12"/>
    <sheet name="TSÚ úpr" sheetId="117" state="hidden" r:id="rId13"/>
    <sheet name="RUD" sheetId="111" r:id="rId14"/>
    <sheet name="Odhad RUD koronavirus" sheetId="120" state="hidden" r:id="rId15"/>
    <sheet name="CF" sheetId="146" state="hidden" r:id="rId16"/>
    <sheet name="Cash flow" sheetId="85" r:id="rId17"/>
    <sheet name="Nákup a prodej vody" sheetId="119" state="hidden" r:id="rId18"/>
    <sheet name="Investice celkem  2025" sheetId="94" r:id="rId19"/>
    <sheet name="5137-DHIM" sheetId="104" r:id="rId20"/>
    <sheet name="5139-Materiál" sheetId="105" r:id="rId21"/>
    <sheet name="5153-plyn" sheetId="123" r:id="rId22"/>
    <sheet name="5154-el.energie" sheetId="125" r:id="rId23"/>
    <sheet name="5141 - Úroky" sheetId="138" r:id="rId24"/>
    <sheet name="5163-pojištění objektů a auta" sheetId="137" r:id="rId25"/>
    <sheet name="5164-Nájemné" sheetId="106" r:id="rId26"/>
    <sheet name="5169_nákup služeb celkem" sheetId="87" r:id="rId27"/>
    <sheet name="5171_Opravy a udrzování celkem" sheetId="72" r:id="rId28"/>
    <sheet name="5172-progr.výbavení" sheetId="127" r:id="rId29"/>
    <sheet name="5329 - Neinvestiční přís." sheetId="140" r:id="rId30"/>
    <sheet name="5331-Neinv.přísp.org." sheetId="107" r:id="rId31"/>
    <sheet name="8124 - Splátky jistiny" sheetId="139" r:id="rId32"/>
    <sheet name="plán - úvěrů a úroků" sheetId="103" state="hidden" r:id="rId33"/>
    <sheet name="srovnání " sheetId="91" state="hidden" r:id="rId34"/>
    <sheet name="voda-kalkulace" sheetId="77" state="hidden" r:id="rId35"/>
    <sheet name="Konsolidace " sheetId="76" state="hidden" r:id="rId36"/>
    <sheet name="Podkladová tabulka -CF" sheetId="92" state="hidden" r:id="rId37"/>
    <sheet name="od roku 2018" sheetId="129" state="hidden" r:id="rId38"/>
    <sheet name="plán - úvěrů a úroků_1" sheetId="141" r:id="rId39"/>
    <sheet name="přepočet úroků" sheetId="134" state="hidden" r:id="rId40"/>
    <sheet name="Zásobník projektů 2016-2020" sheetId="84" state="hidden" r:id="rId41"/>
    <sheet name="Čerpání jistiny a úroky" sheetId="148" r:id="rId42"/>
    <sheet name="čerpání-úvěr a úroky" sheetId="128" state="hidden" r:id="rId43"/>
    <sheet name="výhled 2024-2028" sheetId="131" r:id="rId44"/>
    <sheet name="zásobník projektů 2023-2027" sheetId="132" r:id="rId45"/>
    <sheet name="zásobník projektů 2020-2024" sheetId="136" state="hidden" r:id="rId46"/>
    <sheet name="Financování" sheetId="135" state="hidden" r:id="rId47"/>
    <sheet name="zásobník projektů realizované " sheetId="133" r:id="rId48"/>
    <sheet name="ulice" sheetId="145" r:id="rId49"/>
    <sheet name=" Propočet úroků" sheetId="108" state="hidden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xlnm.Print_Titles" localSheetId="11">TSÚ!$4:$4</definedName>
    <definedName name="_xlnm.Print_Titles" localSheetId="9">'Výdaje kapitol celkem'!$A:$B,'Výdaje kapitol celkem'!$1:$7</definedName>
    <definedName name="_xlnm.Print_Titles" localSheetId="10">'Výdaje kapitol celkem (2)'!$A:$B,'Výdaje kapitol celkem (2)'!$1:$7</definedName>
    <definedName name="_xlnm.Print_Area" localSheetId="8">'Příjmy kapitol celkem'!$A$2:$M$122</definedName>
    <definedName name="Z_8E849D53_8AE4_474C_8B18_4F51F16C1AF2_.wvu.Cols" localSheetId="42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8" hidden="1">'Investice celkem  2025'!$D:$F,'Investice celkem  2025'!$P:$U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2025'!$M:$M</definedName>
    <definedName name="Z_8E849D53_8AE4_474C_8B18_4F51F16C1AF2_.wvu.Cols" localSheetId="33" hidden="1">'srovnání '!$F:$M</definedName>
    <definedName name="Z_8E849D53_8AE4_474C_8B18_4F51F16C1AF2_.wvu.Cols" localSheetId="12" hidden="1">'TSÚ úpr'!$I:$I,'TSÚ úpr'!$M:$M</definedName>
    <definedName name="Z_8E849D53_8AE4_474C_8B18_4F51F16C1AF2_.wvu.PrintArea" localSheetId="8" hidden="1">'Příjmy kapitol celkem'!$A$2:$M$122</definedName>
    <definedName name="Z_8E849D53_8AE4_474C_8B18_4F51F16C1AF2_.wvu.PrintTitles" localSheetId="11" hidden="1">TSÚ!$4:$4</definedName>
    <definedName name="Z_8E849D53_8AE4_474C_8B18_4F51F16C1AF2_.wvu.PrintTitles" localSheetId="9" hidden="1">'Výdaje kapitol celkem'!$A:$B,'Výdaje kapitol celkem'!$1:$7</definedName>
    <definedName name="Z_8E849D53_8AE4_474C_8B18_4F51F16C1AF2_.wvu.PrintTitles" localSheetId="10" hidden="1">'Výdaje kapitol celkem (2)'!$A:$B,'Výdaje kapitol celkem (2)'!$1:$7</definedName>
    <definedName name="Z_8E849D53_8AE4_474C_8B18_4F51F16C1AF2_.wvu.Rows" localSheetId="19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20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21" hidden="1">'5153-plyn'!$30:$31</definedName>
    <definedName name="Z_8E849D53_8AE4_474C_8B18_4F51F16C1AF2_.wvu.Rows" localSheetId="22" hidden="1">'5154-el.energie'!$27:$28,'5154-el.energie'!$30:$31,'5154-el.energie'!$39:$40,'5154-el.energie'!$42:$43,'5154-el.energie'!$60:$60,'5154-el.energie'!$63:$64</definedName>
    <definedName name="Z_8E849D53_8AE4_474C_8B18_4F51F16C1AF2_.wvu.Rows" localSheetId="25" hidden="1">'5164-Nájemné'!$24:$25,'5164-Nájemné'!$33:$34,'5164-Nájemné'!$36:$37,'5164-Nájemné'!$39:$40,'5164-Nájemné'!$49:$50,'5164-Nájemné'!$53:$53</definedName>
    <definedName name="Z_8E849D53_8AE4_474C_8B18_4F51F16C1AF2_.wvu.Rows" localSheetId="26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celkem'!$186:$186,'5169_nákup služeb celkem'!$189:$190,'5169_nákup služeb celkem'!$192:$193,'5169_nákup služeb celkem'!$195:$196,'5169_nákup služeb celkem'!$209:$211</definedName>
    <definedName name="Z_8E849D53_8AE4_474C_8B18_4F51F16C1AF2_.wvu.Rows" localSheetId="27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celkem'!$122:$122,'5171_Opravy a udrzování celkem'!$159:$159,'5171_Opravy a udrzování celkem'!$168:$168,'5171_Opravy a udrzování celkem'!$171:$173,'5171_Opravy a udrzování celkem'!$176:$176</definedName>
    <definedName name="Z_8E849D53_8AE4_474C_8B18_4F51F16C1AF2_.wvu.Rows" localSheetId="30" hidden="1">'5331-Neinv.přísp.org.'!$11:$11</definedName>
    <definedName name="Z_8E849D53_8AE4_474C_8B18_4F51F16C1AF2_.wvu.Rows" localSheetId="16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8" hidden="1">'Investice celkem  2025'!$12:$12,'Investice celkem  2025'!$16:$19,'Investice celkem  2025'!$37:$39,'Investice celkem  2025'!$42:$42,'Investice celkem  2025'!$45:$45,'Investice celkem  2025'!$49:$49,'Investice celkem  2025'!$51:$55,'Investice celkem  2025'!$57:$64,'Investice celkem  2025'!$67:$69,'Investice celkem  2025'!$71:$72,'Investice celkem  2025'!$76:$76,'Investice celkem  2025'!$79:$81,'Investice celkem  2025'!$83:$89,'Investice celkem  2025'!$92:$92,'Investice celkem  2025'!$95:$97,'Investice celkem  2025'!$107:$110,'Investice celkem  2025'!$114:$114,'Investice celkem  2025'!$117:$125,'Investice celkem  2025'!$127:$128,'Investice celkem  2025'!$132:$133,'Investice celkem  2025'!$136:$139,'Investice celkem  2025'!$141:$143,'Investice celkem  2025'!$145:$155,'Investice celkem  2025'!$157:$159,'Investice celkem  2025'!$161:$164,'Investice celkem  2025'!#REF!,'Investice celkem  2025'!$189:$190,'Investice celkem  2025'!$192:$195,'Investice celkem  2025'!$197:$203,'Investice celkem  2025'!$206:$206,'Investice celkem  2025'!$208:$208,'Investice celkem  2025'!$211:$211,'Investice celkem  2025'!$214:$218,'Investice celkem  2025'!$221:$234,'Investice celkem  2025'!$236:$237,'Investice celkem  2025'!$248:$248,'Investice celkem  2025'!$261:$269,'Investice celkem  2025'!$272:$274,'Investice celkem  2025'!$285:$286,'Investice celkem  2025'!$288:$289,'Investice celkem  2025'!$291:$292,'Investice celkem  2025'!$294:$297,'Investice celkem  2025'!$299:$301,'Investice celkem  2025'!$303:$305,'Investice celkem  2025'!$307:$309,'Investice celkem  2025'!$311:$313,'Investice celkem  2025'!$315:$318,'Investice celkem  2025'!$320:$323</definedName>
    <definedName name="Z_8E849D53_8AE4_474C_8B18_4F51F16C1AF2_.wvu.Rows" localSheetId="17" hidden="1">'Nákup a prodej vody'!$70:$70</definedName>
    <definedName name="Z_8E849D53_8AE4_474C_8B18_4F51F16C1AF2_.wvu.Rows" localSheetId="32" hidden="1">'plán - úvěrů a úroků'!$16:$16,'plán - úvěrů a úroků'!$41:$41,'plán - úvěrů a úroků'!$47:$53</definedName>
    <definedName name="Z_8E849D53_8AE4_474C_8B18_4F51F16C1AF2_.wvu.Rows" localSheetId="38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2025'!$41:$41,'Souhrn příjmů a výdajů 2025'!$49:$50,'Souhrn příjmů a výdajů 2025'!$63:$64,'Souhrn příjmů a výdajů 2025'!$68:$69,'Souhrn příjmů a výdajů 2025'!$73:$81,'Souhrn příjmů a výdajů 2025'!$86:$86,'Souhrn příjmů a výdajů 2025'!$95:$95,'Souhrn příjmů a výdajů 2025'!$108:$108,'Souhrn příjmů a výdajů 2025'!$115:$117,'Souhrn příjmů a výdajů 2025'!$125:$128,'Souhrn příjmů a výdajů 2025'!$154:$155,'Souhrn příjmů a výdajů 2025'!$176:$177,'Souhrn příjmů a výdajů 2025'!$185:$185,'Souhrn příjmů a výdajů 2025'!$199:$199,'Souhrn příjmů a výdajů 2025'!$201:$201,'Souhrn příjmů a výdajů 2025'!$203:$203,'Souhrn příjmů a výdajů 2025'!$205:$205,'Souhrn příjmů a výdajů 2025'!$209:$209,'Souhrn příjmů a výdajů 2025'!#REF!</definedName>
    <definedName name="Z_8E849D53_8AE4_474C_8B18_4F51F16C1AF2_.wvu.Rows" localSheetId="12" hidden="1">'TSÚ úpr'!$30:$30,'TSÚ úpr'!$39:$46</definedName>
    <definedName name="Z_8E849D53_8AE4_474C_8B18_4F51F16C1AF2_.wvu.Rows" localSheetId="9" hidden="1">'Výdaje kapitol celkem'!$17:$18,'Výdaje kapitol celkem'!$39:$40,'Výdaje kapitol celkem'!$48:$48,'Výdaje kapitol celkem'!$66:$66,'Výdaje kapitol celkem'!$68:$68,'Výdaje kapitol celkem'!$71:$71</definedName>
    <definedName name="Z_8E849D53_8AE4_474C_8B18_4F51F16C1AF2_.wvu.Rows" localSheetId="10" hidden="1">'Výdaje kapitol celkem (2)'!$17:$18,'Výdaje kapitol celkem (2)'!$39:$40</definedName>
    <definedName name="Z_8E849D53_8AE4_474C_8B18_4F51F16C1AF2_.wvu.Rows" localSheetId="43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40" hidden="1">'Zásobník projektů 2016-2020'!$77:$77</definedName>
    <definedName name="Z_8E849D53_8AE4_474C_8B18_4F51F16C1AF2_.wvu.Rows" localSheetId="45" hidden="1">'zásobník projektů 2020-2024'!$151:$1048576</definedName>
    <definedName name="Z_8E849D53_8AE4_474C_8B18_4F51F16C1AF2_.wvu.Rows" localSheetId="44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M122" i="1" l="1"/>
  <c r="M114" i="1"/>
  <c r="M116" i="1"/>
  <c r="M60" i="73"/>
  <c r="M61" i="73"/>
  <c r="M62" i="73"/>
  <c r="L61" i="73"/>
  <c r="L60" i="73"/>
  <c r="K5" i="107"/>
  <c r="K7" i="140"/>
  <c r="K6" i="140"/>
  <c r="K5" i="140"/>
  <c r="K154" i="72"/>
  <c r="K45" i="106"/>
  <c r="K10" i="138"/>
  <c r="K42" i="125"/>
  <c r="K24" i="125"/>
  <c r="K21" i="125"/>
  <c r="K23" i="125" s="1"/>
  <c r="K15" i="125"/>
  <c r="K17" i="125" s="1"/>
  <c r="K9" i="125"/>
  <c r="K11" i="125" s="1"/>
  <c r="K6" i="125"/>
  <c r="K8" i="125"/>
  <c r="K14" i="125"/>
  <c r="K20" i="125"/>
  <c r="K44" i="125"/>
  <c r="K45" i="125"/>
  <c r="K46" i="125"/>
  <c r="K47" i="125"/>
  <c r="K49" i="125"/>
  <c r="K50" i="125"/>
  <c r="K51" i="125"/>
  <c r="K53" i="125"/>
  <c r="K54" i="125"/>
  <c r="K56" i="125"/>
  <c r="K57" i="125"/>
  <c r="K59" i="125"/>
  <c r="K60" i="125"/>
  <c r="K33" i="123"/>
  <c r="K35" i="123"/>
  <c r="K36" i="123" s="1"/>
  <c r="K29" i="123"/>
  <c r="K24" i="123"/>
  <c r="K26" i="123" s="1"/>
  <c r="K21" i="123"/>
  <c r="K23" i="123"/>
  <c r="K17" i="123"/>
  <c r="K15" i="123"/>
  <c r="K9" i="123"/>
  <c r="K6" i="123"/>
  <c r="O74" i="94"/>
  <c r="O43" i="94"/>
  <c r="O134" i="94"/>
  <c r="N94" i="94"/>
  <c r="N325" i="94" s="1"/>
  <c r="N327" i="94" s="1"/>
  <c r="ED58" i="4"/>
  <c r="EC58" i="4"/>
  <c r="EB58" i="4"/>
  <c r="DX58" i="4"/>
  <c r="DW58" i="4"/>
  <c r="DV58" i="4"/>
  <c r="DU58" i="4"/>
  <c r="DT58" i="4"/>
  <c r="DS58" i="4"/>
  <c r="DP58" i="4"/>
  <c r="DI58" i="4"/>
  <c r="DH58" i="4"/>
  <c r="DG58" i="4"/>
  <c r="CY58" i="4"/>
  <c r="CS58" i="4"/>
  <c r="BL58" i="4"/>
  <c r="Q58" i="4"/>
  <c r="O58" i="4"/>
  <c r="M58" i="4"/>
  <c r="M211" i="73"/>
  <c r="M209" i="73"/>
  <c r="M206" i="73"/>
  <c r="M152" i="73"/>
  <c r="M130" i="73"/>
  <c r="M108" i="73"/>
  <c r="M107" i="73"/>
  <c r="M106" i="73"/>
  <c r="M103" i="73"/>
  <c r="M101" i="73"/>
  <c r="M100" i="73"/>
  <c r="M99" i="73"/>
  <c r="M98" i="73"/>
  <c r="M93" i="73"/>
  <c r="M92" i="73"/>
  <c r="M87" i="73"/>
  <c r="M74" i="73"/>
  <c r="M51" i="73"/>
  <c r="M29" i="73"/>
  <c r="M28" i="73"/>
  <c r="M26" i="73"/>
  <c r="M25" i="73"/>
  <c r="M24" i="73"/>
  <c r="M23" i="73"/>
  <c r="M11" i="73"/>
  <c r="L123" i="73"/>
  <c r="M123" i="73" s="1"/>
  <c r="L120" i="73"/>
  <c r="M120" i="73" s="1"/>
  <c r="L111" i="73"/>
  <c r="M111" i="73" s="1"/>
  <c r="L82" i="73"/>
  <c r="M82" i="73" s="1"/>
  <c r="L79" i="73"/>
  <c r="M79" i="73" s="1"/>
  <c r="L58" i="73"/>
  <c r="M58" i="73" s="1"/>
  <c r="L56" i="73"/>
  <c r="M56" i="73" s="1"/>
  <c r="L55" i="73"/>
  <c r="M55" i="73" s="1"/>
  <c r="L39" i="73"/>
  <c r="M39" i="73" s="1"/>
  <c r="L38" i="73"/>
  <c r="M38" i="73" s="1"/>
  <c r="L105" i="73"/>
  <c r="M105" i="73" s="1"/>
  <c r="L17" i="73"/>
  <c r="M17" i="73" s="1"/>
  <c r="ED54" i="4"/>
  <c r="EC54" i="4"/>
  <c r="EB54" i="4"/>
  <c r="DX54" i="4"/>
  <c r="DW54" i="4"/>
  <c r="DV54" i="4"/>
  <c r="DU54" i="4"/>
  <c r="DT54" i="4"/>
  <c r="DS54" i="4"/>
  <c r="DP54" i="4"/>
  <c r="DI54" i="4"/>
  <c r="DH54" i="4"/>
  <c r="DG54" i="4"/>
  <c r="CY54" i="4"/>
  <c r="CS54" i="4"/>
  <c r="BL54" i="4"/>
  <c r="W54" i="4"/>
  <c r="Q54" i="4"/>
  <c r="O54" i="4"/>
  <c r="M54" i="4"/>
  <c r="P53" i="4"/>
  <c r="K53" i="4" s="1"/>
  <c r="L190" i="73" s="1"/>
  <c r="M190" i="73" s="1"/>
  <c r="P43" i="4"/>
  <c r="K43" i="4" s="1"/>
  <c r="L180" i="73" s="1"/>
  <c r="P15" i="4"/>
  <c r="DO22" i="4"/>
  <c r="DM35" i="4"/>
  <c r="CF34" i="4"/>
  <c r="CF33" i="4"/>
  <c r="AE25" i="4"/>
  <c r="AE54" i="4" s="1"/>
  <c r="AE58" i="4" s="1"/>
  <c r="L56" i="4"/>
  <c r="K56" i="4" s="1"/>
  <c r="EH56" i="4" s="1"/>
  <c r="S38" i="4"/>
  <c r="S34" i="4"/>
  <c r="AR63" i="4"/>
  <c r="AJ63" i="4"/>
  <c r="AH25" i="4"/>
  <c r="AE75" i="4"/>
  <c r="AE72" i="4"/>
  <c r="AE16" i="4"/>
  <c r="BK44" i="4"/>
  <c r="BH68" i="4"/>
  <c r="BG68" i="4" s="1"/>
  <c r="K9" i="140" l="1"/>
  <c r="K55" i="125"/>
  <c r="K48" i="125"/>
  <c r="K58" i="125"/>
  <c r="K52" i="125"/>
  <c r="L192" i="73"/>
  <c r="M192" i="73" s="1"/>
  <c r="CF54" i="4"/>
  <c r="CF58" i="4" s="1"/>
  <c r="S54" i="4"/>
  <c r="AE77" i="4"/>
  <c r="M74" i="4"/>
  <c r="BE25" i="4"/>
  <c r="AY25" i="4"/>
  <c r="CK23" i="4"/>
  <c r="BN23" i="4"/>
  <c r="BK25" i="4"/>
  <c r="BK24" i="4"/>
  <c r="BK23" i="4"/>
  <c r="BH25" i="4"/>
  <c r="BH24" i="4"/>
  <c r="BH23" i="4"/>
  <c r="AT25" i="4"/>
  <c r="AM23" i="4"/>
  <c r="AJ25" i="4"/>
  <c r="AJ24" i="4"/>
  <c r="AF23" i="4"/>
  <c r="AD25" i="4"/>
  <c r="AD24" i="4"/>
  <c r="AD23" i="4"/>
  <c r="V23" i="4"/>
  <c r="V24" i="4"/>
  <c r="V25" i="4"/>
  <c r="BH30" i="4"/>
  <c r="BE51" i="4"/>
  <c r="BB51" i="4"/>
  <c r="AY51" i="4"/>
  <c r="CB45" i="4"/>
  <c r="BZ45" i="4"/>
  <c r="BW45" i="4"/>
  <c r="BQ45" i="4"/>
  <c r="BH45" i="4"/>
  <c r="G358" i="148"/>
  <c r="F358" i="148"/>
  <c r="H357" i="148"/>
  <c r="H356" i="148"/>
  <c r="H355" i="148"/>
  <c r="H354" i="148"/>
  <c r="H353" i="148"/>
  <c r="H358" i="148" s="1"/>
  <c r="G352" i="148"/>
  <c r="F352" i="148"/>
  <c r="H351" i="148"/>
  <c r="H350" i="148"/>
  <c r="H349" i="148"/>
  <c r="H348" i="148"/>
  <c r="H347" i="148"/>
  <c r="H352" i="148" s="1"/>
  <c r="G346" i="148"/>
  <c r="F346" i="148"/>
  <c r="H344" i="148"/>
  <c r="H343" i="148"/>
  <c r="H342" i="148"/>
  <c r="J341" i="148"/>
  <c r="J342" i="148" s="1"/>
  <c r="H341" i="148"/>
  <c r="H346" i="148" s="1"/>
  <c r="G340" i="148"/>
  <c r="F340" i="148"/>
  <c r="J339" i="148"/>
  <c r="H338" i="148"/>
  <c r="J337" i="148"/>
  <c r="H337" i="148"/>
  <c r="H336" i="148"/>
  <c r="H335" i="148"/>
  <c r="H340" i="148" s="1"/>
  <c r="G334" i="148"/>
  <c r="F334" i="148"/>
  <c r="H333" i="148"/>
  <c r="J332" i="148"/>
  <c r="H332" i="148"/>
  <c r="H331" i="148"/>
  <c r="H330" i="148"/>
  <c r="H329" i="148"/>
  <c r="H334" i="148" s="1"/>
  <c r="G328" i="148"/>
  <c r="F328" i="148"/>
  <c r="J327" i="148"/>
  <c r="H327" i="148"/>
  <c r="H326" i="148"/>
  <c r="H325" i="148"/>
  <c r="J331" i="148" s="1"/>
  <c r="H324" i="148"/>
  <c r="H323" i="148"/>
  <c r="H328" i="148" s="1"/>
  <c r="G322" i="148"/>
  <c r="F322" i="148"/>
  <c r="H320" i="148"/>
  <c r="H319" i="148"/>
  <c r="H318" i="148"/>
  <c r="H317" i="148"/>
  <c r="H322" i="148" s="1"/>
  <c r="G316" i="148"/>
  <c r="F316" i="148"/>
  <c r="H315" i="148"/>
  <c r="H314" i="148"/>
  <c r="H313" i="148"/>
  <c r="H312" i="148"/>
  <c r="H316" i="148" s="1"/>
  <c r="H311" i="148"/>
  <c r="G310" i="148"/>
  <c r="F310" i="148"/>
  <c r="H308" i="148"/>
  <c r="H307" i="148"/>
  <c r="H306" i="148"/>
  <c r="H305" i="148"/>
  <c r="H310" i="148" s="1"/>
  <c r="G304" i="148"/>
  <c r="F304" i="148"/>
  <c r="H302" i="148"/>
  <c r="H301" i="148"/>
  <c r="H300" i="148"/>
  <c r="H299" i="148"/>
  <c r="H304" i="148" s="1"/>
  <c r="G298" i="148"/>
  <c r="F298" i="148"/>
  <c r="H297" i="148"/>
  <c r="H296" i="148"/>
  <c r="H298" i="148" s="1"/>
  <c r="H295" i="148"/>
  <c r="H294" i="148"/>
  <c r="H293" i="148"/>
  <c r="G292" i="148"/>
  <c r="F292" i="148"/>
  <c r="H291" i="148"/>
  <c r="H290" i="148"/>
  <c r="H292" i="148" s="1"/>
  <c r="H289" i="148"/>
  <c r="H288" i="148"/>
  <c r="H287" i="148"/>
  <c r="G286" i="148"/>
  <c r="F286" i="148"/>
  <c r="H284" i="148"/>
  <c r="H283" i="148"/>
  <c r="H286" i="148" s="1"/>
  <c r="H282" i="148"/>
  <c r="H281" i="148"/>
  <c r="G280" i="148"/>
  <c r="F280" i="148"/>
  <c r="H279" i="148"/>
  <c r="H278" i="148"/>
  <c r="H277" i="148"/>
  <c r="H276" i="148"/>
  <c r="H280" i="148" s="1"/>
  <c r="G275" i="148"/>
  <c r="F275" i="148"/>
  <c r="H274" i="148"/>
  <c r="H273" i="148"/>
  <c r="H272" i="148"/>
  <c r="H271" i="148"/>
  <c r="H275" i="148" s="1"/>
  <c r="G270" i="148"/>
  <c r="F270" i="148"/>
  <c r="H269" i="148"/>
  <c r="H268" i="148"/>
  <c r="H267" i="148"/>
  <c r="H270" i="148" s="1"/>
  <c r="H266" i="148"/>
  <c r="H265" i="148"/>
  <c r="G265" i="148"/>
  <c r="F265" i="148"/>
  <c r="H264" i="148"/>
  <c r="H262" i="148"/>
  <c r="H261" i="148"/>
  <c r="G260" i="148"/>
  <c r="F260" i="148"/>
  <c r="H259" i="148"/>
  <c r="H257" i="148"/>
  <c r="H256" i="148"/>
  <c r="H260" i="148" s="1"/>
  <c r="G255" i="148"/>
  <c r="F255" i="148"/>
  <c r="H254" i="148"/>
  <c r="H252" i="148"/>
  <c r="H255" i="148" s="1"/>
  <c r="H251" i="148"/>
  <c r="G250" i="148"/>
  <c r="F250" i="148"/>
  <c r="H249" i="148"/>
  <c r="H247" i="148"/>
  <c r="H250" i="148" s="1"/>
  <c r="H246" i="148"/>
  <c r="H245" i="148"/>
  <c r="G245" i="148"/>
  <c r="F245" i="148"/>
  <c r="H244" i="148"/>
  <c r="H242" i="148"/>
  <c r="H241" i="148"/>
  <c r="G240" i="148"/>
  <c r="F240" i="148"/>
  <c r="H239" i="148"/>
  <c r="H237" i="148"/>
  <c r="J237" i="148" s="1"/>
  <c r="H236" i="148"/>
  <c r="H240" i="148" s="1"/>
  <c r="G235" i="148"/>
  <c r="F235" i="148"/>
  <c r="H234" i="148"/>
  <c r="H233" i="148"/>
  <c r="H232" i="148"/>
  <c r="H231" i="148"/>
  <c r="H235" i="148" s="1"/>
  <c r="G230" i="148"/>
  <c r="F230" i="148"/>
  <c r="H229" i="148"/>
  <c r="J229" i="148" s="1"/>
  <c r="H228" i="148"/>
  <c r="H227" i="148"/>
  <c r="H226" i="148"/>
  <c r="H225" i="148"/>
  <c r="H230" i="148" s="1"/>
  <c r="H224" i="148"/>
  <c r="G224" i="148"/>
  <c r="F224" i="148"/>
  <c r="K223" i="148"/>
  <c r="J223" i="148"/>
  <c r="H223" i="148"/>
  <c r="K222" i="148"/>
  <c r="J222" i="148"/>
  <c r="H222" i="148"/>
  <c r="K221" i="148"/>
  <c r="J221" i="148"/>
  <c r="H221" i="148"/>
  <c r="K220" i="148"/>
  <c r="J220" i="148"/>
  <c r="H220" i="148"/>
  <c r="K219" i="148"/>
  <c r="K224" i="148" s="1"/>
  <c r="J219" i="148"/>
  <c r="J224" i="148" s="1"/>
  <c r="H219" i="148"/>
  <c r="G218" i="148"/>
  <c r="F218" i="148"/>
  <c r="H216" i="148"/>
  <c r="H215" i="148"/>
  <c r="G212" i="148"/>
  <c r="F211" i="148"/>
  <c r="H217" i="148" s="1"/>
  <c r="H210" i="148"/>
  <c r="F210" i="148"/>
  <c r="H209" i="148"/>
  <c r="F208" i="148"/>
  <c r="H214" i="148" s="1"/>
  <c r="G206" i="148"/>
  <c r="F206" i="148"/>
  <c r="H205" i="148"/>
  <c r="H204" i="148"/>
  <c r="L222" i="148" s="1"/>
  <c r="H203" i="148"/>
  <c r="H206" i="148" s="1"/>
  <c r="H202" i="148"/>
  <c r="H201" i="148"/>
  <c r="F207" i="148" s="1"/>
  <c r="G200" i="148"/>
  <c r="F200" i="148"/>
  <c r="H199" i="148"/>
  <c r="H197" i="148"/>
  <c r="H196" i="148"/>
  <c r="H200" i="148" s="1"/>
  <c r="H195" i="148"/>
  <c r="G191" i="148"/>
  <c r="F191" i="148"/>
  <c r="H190" i="148"/>
  <c r="H189" i="148"/>
  <c r="H188" i="148"/>
  <c r="H187" i="148"/>
  <c r="H186" i="148"/>
  <c r="H191" i="148" s="1"/>
  <c r="G185" i="148"/>
  <c r="F185" i="148"/>
  <c r="H184" i="148"/>
  <c r="H183" i="148"/>
  <c r="H182" i="148"/>
  <c r="H181" i="148"/>
  <c r="H180" i="148"/>
  <c r="H185" i="148" s="1"/>
  <c r="G179" i="148"/>
  <c r="F179" i="148"/>
  <c r="H178" i="148"/>
  <c r="H177" i="148"/>
  <c r="H176" i="148"/>
  <c r="H175" i="148"/>
  <c r="H174" i="148"/>
  <c r="H179" i="148" s="1"/>
  <c r="G173" i="148"/>
  <c r="F173" i="148"/>
  <c r="H170" i="148"/>
  <c r="G167" i="148"/>
  <c r="G161" i="148"/>
  <c r="G155" i="148"/>
  <c r="H152" i="148"/>
  <c r="K149" i="148"/>
  <c r="G149" i="148"/>
  <c r="F149" i="148"/>
  <c r="K148" i="148"/>
  <c r="J148" i="148"/>
  <c r="H148" i="148"/>
  <c r="L148" i="148" s="1"/>
  <c r="K147" i="148"/>
  <c r="J147" i="148"/>
  <c r="H147" i="148"/>
  <c r="F153" i="148" s="1"/>
  <c r="K146" i="148"/>
  <c r="J146" i="148"/>
  <c r="H146" i="148"/>
  <c r="L146" i="148" s="1"/>
  <c r="K145" i="148"/>
  <c r="J145" i="148"/>
  <c r="H145" i="148"/>
  <c r="L145" i="148" s="1"/>
  <c r="K144" i="148"/>
  <c r="J144" i="148"/>
  <c r="J149" i="148" s="1"/>
  <c r="H144" i="148"/>
  <c r="H149" i="148" s="1"/>
  <c r="G143" i="148"/>
  <c r="F143" i="148"/>
  <c r="H142" i="148"/>
  <c r="H141" i="148"/>
  <c r="H140" i="148"/>
  <c r="H139" i="148"/>
  <c r="H138" i="148"/>
  <c r="H143" i="148" s="1"/>
  <c r="G137" i="148"/>
  <c r="F137" i="148"/>
  <c r="H136" i="148"/>
  <c r="H135" i="148"/>
  <c r="H134" i="148"/>
  <c r="H133" i="148"/>
  <c r="H132" i="148"/>
  <c r="H137" i="148" s="1"/>
  <c r="G131" i="148"/>
  <c r="F131" i="148"/>
  <c r="H130" i="148"/>
  <c r="H129" i="148"/>
  <c r="H128" i="148"/>
  <c r="H127" i="148"/>
  <c r="H126" i="148"/>
  <c r="H131" i="148" s="1"/>
  <c r="G125" i="148"/>
  <c r="F125" i="148"/>
  <c r="H124" i="148"/>
  <c r="H123" i="148"/>
  <c r="H122" i="148"/>
  <c r="H121" i="148"/>
  <c r="H120" i="148"/>
  <c r="H125" i="148" s="1"/>
  <c r="G119" i="148"/>
  <c r="F119" i="148"/>
  <c r="H118" i="148"/>
  <c r="H117" i="148"/>
  <c r="H116" i="148"/>
  <c r="H115" i="148"/>
  <c r="H114" i="148"/>
  <c r="H119" i="148" s="1"/>
  <c r="G113" i="148"/>
  <c r="F113" i="148"/>
  <c r="H112" i="148"/>
  <c r="H111" i="148"/>
  <c r="H110" i="148"/>
  <c r="H109" i="148"/>
  <c r="H108" i="148"/>
  <c r="H113" i="148" s="1"/>
  <c r="G107" i="148"/>
  <c r="F107" i="148"/>
  <c r="H106" i="148"/>
  <c r="H105" i="148"/>
  <c r="H104" i="148"/>
  <c r="H103" i="148"/>
  <c r="H102" i="148"/>
  <c r="H107" i="148" s="1"/>
  <c r="G101" i="148"/>
  <c r="F101" i="148"/>
  <c r="H100" i="148"/>
  <c r="H99" i="148"/>
  <c r="H98" i="148"/>
  <c r="H97" i="148"/>
  <c r="H96" i="148"/>
  <c r="H101" i="148" s="1"/>
  <c r="G95" i="148"/>
  <c r="F95" i="148"/>
  <c r="H94" i="148"/>
  <c r="H93" i="148"/>
  <c r="H92" i="148"/>
  <c r="H91" i="148"/>
  <c r="H90" i="148"/>
  <c r="H95" i="148" s="1"/>
  <c r="G89" i="148"/>
  <c r="F89" i="148"/>
  <c r="H88" i="148"/>
  <c r="H87" i="148"/>
  <c r="H86" i="148"/>
  <c r="H85" i="148"/>
  <c r="H84" i="148"/>
  <c r="H89" i="148" s="1"/>
  <c r="G83" i="148"/>
  <c r="F83" i="148"/>
  <c r="H82" i="148"/>
  <c r="H81" i="148"/>
  <c r="H80" i="148"/>
  <c r="H79" i="148"/>
  <c r="H78" i="148"/>
  <c r="H83" i="148" s="1"/>
  <c r="H77" i="148"/>
  <c r="G77" i="148"/>
  <c r="F77" i="148"/>
  <c r="K76" i="148"/>
  <c r="J76" i="148"/>
  <c r="H76" i="148"/>
  <c r="L76" i="148" s="1"/>
  <c r="K75" i="148"/>
  <c r="J75" i="148"/>
  <c r="H75" i="148"/>
  <c r="L75" i="148" s="1"/>
  <c r="K74" i="148"/>
  <c r="J74" i="148"/>
  <c r="H74" i="148"/>
  <c r="L74" i="148" s="1"/>
  <c r="K73" i="148"/>
  <c r="J73" i="148"/>
  <c r="H73" i="148"/>
  <c r="L73" i="148" s="1"/>
  <c r="K72" i="148"/>
  <c r="K77" i="148" s="1"/>
  <c r="J72" i="148"/>
  <c r="J77" i="148" s="1"/>
  <c r="H72" i="148"/>
  <c r="L72" i="148" s="1"/>
  <c r="L77" i="148" s="1"/>
  <c r="G71" i="148"/>
  <c r="F71" i="148"/>
  <c r="H70" i="148"/>
  <c r="H69" i="148"/>
  <c r="H68" i="148"/>
  <c r="H67" i="148"/>
  <c r="H66" i="148"/>
  <c r="H71" i="148" s="1"/>
  <c r="G65" i="148"/>
  <c r="F65" i="148"/>
  <c r="H64" i="148"/>
  <c r="H63" i="148"/>
  <c r="H62" i="148"/>
  <c r="H61" i="148"/>
  <c r="H60" i="148"/>
  <c r="H65" i="148" s="1"/>
  <c r="G59" i="148"/>
  <c r="F59" i="148"/>
  <c r="H58" i="148"/>
  <c r="H57" i="148"/>
  <c r="H56" i="148"/>
  <c r="H55" i="148"/>
  <c r="H54" i="148"/>
  <c r="H59" i="148" s="1"/>
  <c r="G53" i="148"/>
  <c r="F53" i="148"/>
  <c r="H52" i="148"/>
  <c r="H51" i="148"/>
  <c r="H50" i="148"/>
  <c r="H49" i="148"/>
  <c r="H48" i="148"/>
  <c r="H53" i="148" s="1"/>
  <c r="G47" i="148"/>
  <c r="F47" i="148"/>
  <c r="H46" i="148"/>
  <c r="H45" i="148"/>
  <c r="H44" i="148"/>
  <c r="H43" i="148"/>
  <c r="H42" i="148"/>
  <c r="H47" i="148" s="1"/>
  <c r="G41" i="148"/>
  <c r="F41" i="148"/>
  <c r="H40" i="148"/>
  <c r="H39" i="148"/>
  <c r="H38" i="148"/>
  <c r="H41" i="148" s="1"/>
  <c r="H37" i="148"/>
  <c r="H36" i="148"/>
  <c r="G35" i="148"/>
  <c r="F35" i="148"/>
  <c r="H34" i="148"/>
  <c r="H33" i="148"/>
  <c r="H32" i="148"/>
  <c r="H35" i="148" s="1"/>
  <c r="H31" i="148"/>
  <c r="H30" i="148"/>
  <c r="G29" i="148"/>
  <c r="F29" i="148"/>
  <c r="H28" i="148"/>
  <c r="H27" i="148"/>
  <c r="H26" i="148"/>
  <c r="H29" i="148" s="1"/>
  <c r="H25" i="148"/>
  <c r="H24" i="148"/>
  <c r="G23" i="148"/>
  <c r="F23" i="148"/>
  <c r="H22" i="148"/>
  <c r="H21" i="148"/>
  <c r="H20" i="148"/>
  <c r="H23" i="148" s="1"/>
  <c r="H19" i="148"/>
  <c r="H18" i="148"/>
  <c r="G17" i="148"/>
  <c r="F17" i="148"/>
  <c r="H16" i="148"/>
  <c r="H15" i="148"/>
  <c r="H14" i="148"/>
  <c r="H17" i="148" s="1"/>
  <c r="H13" i="148"/>
  <c r="H12" i="148"/>
  <c r="H11" i="148"/>
  <c r="G11" i="148"/>
  <c r="F11" i="148"/>
  <c r="L11" i="107"/>
  <c r="L18" i="127"/>
  <c r="L173" i="72"/>
  <c r="L164" i="72"/>
  <c r="L160" i="72"/>
  <c r="L156" i="72"/>
  <c r="L152" i="72"/>
  <c r="L148" i="72"/>
  <c r="L147" i="72"/>
  <c r="L142" i="72"/>
  <c r="L140" i="72"/>
  <c r="L125" i="72"/>
  <c r="L120" i="72"/>
  <c r="L119" i="72"/>
  <c r="L107" i="72"/>
  <c r="L87" i="72"/>
  <c r="L80" i="72"/>
  <c r="L79" i="72"/>
  <c r="L72" i="72"/>
  <c r="L68" i="72"/>
  <c r="L64" i="72"/>
  <c r="L51" i="72"/>
  <c r="L34" i="72"/>
  <c r="L21" i="72"/>
  <c r="L20" i="72"/>
  <c r="L12" i="72"/>
  <c r="L212" i="87"/>
  <c r="L211" i="87"/>
  <c r="L210" i="87"/>
  <c r="L209" i="87"/>
  <c r="L207" i="87"/>
  <c r="L202" i="87"/>
  <c r="L201" i="87"/>
  <c r="L200" i="87"/>
  <c r="L199" i="87"/>
  <c r="L198" i="87"/>
  <c r="L197" i="87"/>
  <c r="L196" i="87"/>
  <c r="L195" i="87"/>
  <c r="L194" i="87"/>
  <c r="L193" i="87"/>
  <c r="L192" i="87"/>
  <c r="L191" i="87"/>
  <c r="L190" i="87"/>
  <c r="L189" i="87"/>
  <c r="L187" i="87"/>
  <c r="L177" i="87"/>
  <c r="L176" i="87"/>
  <c r="L175" i="87"/>
  <c r="L174" i="87"/>
  <c r="L159" i="87"/>
  <c r="L158" i="87"/>
  <c r="L157" i="87"/>
  <c r="L156" i="87"/>
  <c r="L154" i="87"/>
  <c r="L150" i="87"/>
  <c r="L149" i="87"/>
  <c r="L128" i="87"/>
  <c r="L100" i="87"/>
  <c r="L99" i="87"/>
  <c r="L90" i="87"/>
  <c r="L86" i="87"/>
  <c r="L85" i="87"/>
  <c r="L84" i="87"/>
  <c r="L80" i="87"/>
  <c r="L76" i="87"/>
  <c r="L61" i="87"/>
  <c r="L37" i="87"/>
  <c r="L19" i="87"/>
  <c r="L13" i="87"/>
  <c r="L12" i="87"/>
  <c r="L11" i="87"/>
  <c r="L60" i="106"/>
  <c r="L54" i="106"/>
  <c r="L50" i="106"/>
  <c r="L49" i="106"/>
  <c r="L41" i="106"/>
  <c r="L40" i="106"/>
  <c r="L39" i="106"/>
  <c r="L38" i="106"/>
  <c r="L37" i="106"/>
  <c r="L36" i="106"/>
  <c r="L18" i="106"/>
  <c r="L16" i="106"/>
  <c r="L5" i="106"/>
  <c r="L7" i="137"/>
  <c r="L64" i="125"/>
  <c r="L63" i="125"/>
  <c r="L61" i="125"/>
  <c r="L41" i="125"/>
  <c r="L40" i="125"/>
  <c r="L39" i="125"/>
  <c r="L7" i="125"/>
  <c r="L29" i="123"/>
  <c r="L28" i="123"/>
  <c r="L27" i="123"/>
  <c r="L7" i="123"/>
  <c r="L162" i="105"/>
  <c r="L161" i="105"/>
  <c r="L160" i="105"/>
  <c r="L159" i="105"/>
  <c r="L157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2" i="105"/>
  <c r="L119" i="105"/>
  <c r="L118" i="105"/>
  <c r="L117" i="105"/>
  <c r="L116" i="105"/>
  <c r="L115" i="105"/>
  <c r="L114" i="105"/>
  <c r="L112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5" i="105"/>
  <c r="L72" i="105"/>
  <c r="L71" i="105"/>
  <c r="L70" i="105"/>
  <c r="L69" i="105"/>
  <c r="L67" i="105"/>
  <c r="L63" i="105"/>
  <c r="L62" i="105"/>
  <c r="L61" i="105"/>
  <c r="L55" i="105"/>
  <c r="L54" i="105"/>
  <c r="L53" i="105"/>
  <c r="L52" i="105"/>
  <c r="L47" i="105"/>
  <c r="L37" i="105"/>
  <c r="L36" i="105"/>
  <c r="L31" i="105"/>
  <c r="L24" i="105"/>
  <c r="L23" i="105"/>
  <c r="L22" i="105"/>
  <c r="L17" i="105"/>
  <c r="L14" i="105"/>
  <c r="L13" i="105"/>
  <c r="L12" i="105"/>
  <c r="L11" i="105"/>
  <c r="L7" i="105"/>
  <c r="L6" i="105"/>
  <c r="L5" i="105"/>
  <c r="L73" i="104"/>
  <c r="L69" i="104"/>
  <c r="L65" i="104"/>
  <c r="L64" i="104"/>
  <c r="L63" i="104"/>
  <c r="L62" i="104"/>
  <c r="L61" i="104"/>
  <c r="L60" i="104"/>
  <c r="L59" i="104"/>
  <c r="L57" i="104"/>
  <c r="L45" i="104"/>
  <c r="L42" i="104"/>
  <c r="L41" i="104"/>
  <c r="L39" i="104"/>
  <c r="L33" i="104"/>
  <c r="L32" i="104"/>
  <c r="L31" i="104"/>
  <c r="L23" i="104"/>
  <c r="L16" i="104"/>
  <c r="L13" i="104"/>
  <c r="L12" i="104"/>
  <c r="L11" i="104"/>
  <c r="L7" i="104"/>
  <c r="L6" i="104"/>
  <c r="L5" i="104"/>
  <c r="P323" i="94"/>
  <c r="P322" i="94"/>
  <c r="P321" i="94"/>
  <c r="P318" i="94"/>
  <c r="P317" i="94"/>
  <c r="P316" i="94"/>
  <c r="P315" i="94"/>
  <c r="P313" i="94"/>
  <c r="P312" i="94"/>
  <c r="P311" i="94"/>
  <c r="P309" i="94"/>
  <c r="P308" i="94"/>
  <c r="P307" i="94"/>
  <c r="P305" i="94"/>
  <c r="P304" i="94"/>
  <c r="P303" i="94"/>
  <c r="P301" i="94"/>
  <c r="P300" i="94"/>
  <c r="P299" i="94"/>
  <c r="P297" i="94"/>
  <c r="P296" i="94"/>
  <c r="P289" i="94"/>
  <c r="P288" i="94"/>
  <c r="P286" i="94"/>
  <c r="P285" i="94"/>
  <c r="P280" i="94"/>
  <c r="P276" i="94"/>
  <c r="P255" i="94"/>
  <c r="P254" i="94"/>
  <c r="P251" i="94"/>
  <c r="P250" i="94"/>
  <c r="P249" i="94"/>
  <c r="P248" i="94"/>
  <c r="P247" i="94"/>
  <c r="P246" i="94"/>
  <c r="P230" i="94"/>
  <c r="P229" i="94"/>
  <c r="P181" i="94"/>
  <c r="P169" i="94"/>
  <c r="P167" i="94"/>
  <c r="P159" i="94"/>
  <c r="P155" i="94"/>
  <c r="P154" i="94"/>
  <c r="P153" i="94"/>
  <c r="P152" i="94"/>
  <c r="P151" i="94"/>
  <c r="P150" i="94"/>
  <c r="P149" i="94"/>
  <c r="P148" i="94"/>
  <c r="P146" i="94"/>
  <c r="P145" i="94"/>
  <c r="P143" i="94"/>
  <c r="P134" i="94"/>
  <c r="P133" i="94"/>
  <c r="P132" i="94"/>
  <c r="P131" i="94"/>
  <c r="P126" i="94"/>
  <c r="P125" i="94"/>
  <c r="P115" i="94"/>
  <c r="P114" i="94"/>
  <c r="P110" i="94"/>
  <c r="P109" i="94"/>
  <c r="P101" i="94"/>
  <c r="P97" i="94"/>
  <c r="P96" i="94"/>
  <c r="P95" i="94"/>
  <c r="P90" i="94"/>
  <c r="P89" i="94"/>
  <c r="P81" i="94"/>
  <c r="P75" i="94"/>
  <c r="P74" i="94"/>
  <c r="P72" i="94"/>
  <c r="P71" i="94"/>
  <c r="P65" i="94"/>
  <c r="P26" i="94"/>
  <c r="P21" i="94"/>
  <c r="O11" i="85"/>
  <c r="O12" i="85"/>
  <c r="O10" i="85"/>
  <c r="O8" i="85"/>
  <c r="O7" i="85"/>
  <c r="O6" i="85"/>
  <c r="O15" i="85"/>
  <c r="O14" i="85"/>
  <c r="O13" i="85"/>
  <c r="O53" i="85"/>
  <c r="O20" i="85"/>
  <c r="N54" i="85"/>
  <c r="M54" i="85"/>
  <c r="L54" i="85"/>
  <c r="K54" i="85"/>
  <c r="J54" i="85"/>
  <c r="I54" i="85"/>
  <c r="H54" i="85"/>
  <c r="G54" i="85"/>
  <c r="F54" i="85"/>
  <c r="E54" i="85"/>
  <c r="D54" i="85"/>
  <c r="N33" i="85"/>
  <c r="M33" i="85"/>
  <c r="L33" i="85"/>
  <c r="K33" i="85"/>
  <c r="J33" i="85"/>
  <c r="I33" i="85"/>
  <c r="H33" i="85"/>
  <c r="G33" i="85"/>
  <c r="F33" i="85"/>
  <c r="E33" i="85"/>
  <c r="D33" i="85"/>
  <c r="N53" i="85"/>
  <c r="M53" i="85"/>
  <c r="L53" i="85"/>
  <c r="K53" i="85"/>
  <c r="J53" i="85"/>
  <c r="I53" i="85"/>
  <c r="H53" i="85"/>
  <c r="G53" i="85"/>
  <c r="F53" i="85"/>
  <c r="E53" i="85"/>
  <c r="N30" i="85"/>
  <c r="M30" i="85"/>
  <c r="L30" i="85"/>
  <c r="K30" i="85"/>
  <c r="J30" i="85"/>
  <c r="I30" i="85"/>
  <c r="H30" i="85"/>
  <c r="G30" i="85"/>
  <c r="F30" i="85"/>
  <c r="E30" i="85"/>
  <c r="N29" i="85"/>
  <c r="M29" i="85"/>
  <c r="L29" i="85"/>
  <c r="K29" i="85"/>
  <c r="J29" i="85"/>
  <c r="I29" i="85"/>
  <c r="H29" i="85"/>
  <c r="G29" i="85"/>
  <c r="F29" i="85"/>
  <c r="E29" i="85"/>
  <c r="N28" i="85"/>
  <c r="M28" i="85"/>
  <c r="L28" i="85"/>
  <c r="K28" i="85"/>
  <c r="J28" i="85"/>
  <c r="I28" i="85"/>
  <c r="H28" i="85"/>
  <c r="G28" i="85"/>
  <c r="F28" i="85"/>
  <c r="E28" i="85"/>
  <c r="N25" i="85"/>
  <c r="M25" i="85"/>
  <c r="L25" i="85"/>
  <c r="K25" i="85"/>
  <c r="J25" i="85"/>
  <c r="I25" i="85"/>
  <c r="H25" i="85"/>
  <c r="G25" i="85"/>
  <c r="F25" i="85"/>
  <c r="E25" i="85"/>
  <c r="N24" i="85"/>
  <c r="M24" i="85"/>
  <c r="L24" i="85"/>
  <c r="K24" i="85"/>
  <c r="J24" i="85"/>
  <c r="I24" i="85"/>
  <c r="H24" i="85"/>
  <c r="G24" i="85"/>
  <c r="F24" i="85"/>
  <c r="E24" i="85"/>
  <c r="N23" i="85"/>
  <c r="M23" i="85"/>
  <c r="L23" i="85"/>
  <c r="K23" i="85"/>
  <c r="J23" i="85"/>
  <c r="I23" i="85"/>
  <c r="H23" i="85"/>
  <c r="G23" i="85"/>
  <c r="F23" i="85"/>
  <c r="E23" i="85"/>
  <c r="N22" i="85"/>
  <c r="M22" i="85"/>
  <c r="L22" i="85"/>
  <c r="K22" i="85"/>
  <c r="J22" i="85"/>
  <c r="I22" i="85"/>
  <c r="H22" i="85"/>
  <c r="G22" i="85"/>
  <c r="F22" i="85"/>
  <c r="E22" i="85"/>
  <c r="N21" i="85"/>
  <c r="M21" i="85"/>
  <c r="L21" i="85"/>
  <c r="K21" i="85"/>
  <c r="J21" i="85"/>
  <c r="I21" i="85"/>
  <c r="H21" i="85"/>
  <c r="G21" i="85"/>
  <c r="F21" i="85"/>
  <c r="E21" i="85"/>
  <c r="N20" i="85"/>
  <c r="M20" i="85"/>
  <c r="L20" i="85"/>
  <c r="K20" i="85"/>
  <c r="J20" i="85"/>
  <c r="I20" i="85"/>
  <c r="H20" i="85"/>
  <c r="G20" i="85"/>
  <c r="F20" i="85"/>
  <c r="E20" i="85"/>
  <c r="D53" i="85"/>
  <c r="D30" i="85"/>
  <c r="D29" i="85"/>
  <c r="D28" i="85"/>
  <c r="D25" i="85"/>
  <c r="D24" i="85"/>
  <c r="D23" i="85"/>
  <c r="D22" i="85"/>
  <c r="D21" i="85"/>
  <c r="D20" i="85"/>
  <c r="E13" i="85"/>
  <c r="F13" i="85"/>
  <c r="G13" i="85"/>
  <c r="H13" i="85"/>
  <c r="I13" i="85"/>
  <c r="J13" i="85"/>
  <c r="K13" i="85"/>
  <c r="L13" i="85"/>
  <c r="M13" i="85"/>
  <c r="N13" i="85"/>
  <c r="E14" i="85"/>
  <c r="F14" i="85"/>
  <c r="G14" i="85"/>
  <c r="H14" i="85"/>
  <c r="I14" i="85"/>
  <c r="J14" i="85"/>
  <c r="K14" i="85"/>
  <c r="L14" i="85"/>
  <c r="M14" i="85"/>
  <c r="N14" i="85"/>
  <c r="E15" i="85"/>
  <c r="F15" i="85"/>
  <c r="G15" i="85"/>
  <c r="H15" i="85"/>
  <c r="I15" i="85"/>
  <c r="J15" i="85"/>
  <c r="K15" i="85"/>
  <c r="L15" i="85"/>
  <c r="M15" i="85"/>
  <c r="N15" i="85"/>
  <c r="D15" i="85"/>
  <c r="D14" i="85"/>
  <c r="D13" i="85"/>
  <c r="E6" i="85"/>
  <c r="F6" i="85"/>
  <c r="G6" i="85"/>
  <c r="H6" i="85"/>
  <c r="I6" i="85"/>
  <c r="J6" i="85"/>
  <c r="K6" i="85"/>
  <c r="L6" i="85"/>
  <c r="M6" i="85"/>
  <c r="N6" i="85"/>
  <c r="E7" i="85"/>
  <c r="F7" i="85"/>
  <c r="G7" i="85"/>
  <c r="H7" i="85"/>
  <c r="I7" i="85"/>
  <c r="J7" i="85"/>
  <c r="K7" i="85"/>
  <c r="L7" i="85"/>
  <c r="M7" i="85"/>
  <c r="N7" i="85"/>
  <c r="E8" i="85"/>
  <c r="F8" i="85"/>
  <c r="G8" i="85"/>
  <c r="H8" i="85"/>
  <c r="I8" i="85"/>
  <c r="J8" i="85"/>
  <c r="K8" i="85"/>
  <c r="L8" i="85"/>
  <c r="M8" i="85"/>
  <c r="N8" i="85"/>
  <c r="E10" i="85"/>
  <c r="F10" i="85"/>
  <c r="G10" i="85"/>
  <c r="H10" i="85"/>
  <c r="I10" i="85"/>
  <c r="J10" i="85"/>
  <c r="K10" i="85"/>
  <c r="L10" i="85"/>
  <c r="M10" i="85"/>
  <c r="N10" i="85"/>
  <c r="E11" i="85"/>
  <c r="F11" i="85"/>
  <c r="G11" i="85"/>
  <c r="H11" i="85"/>
  <c r="I11" i="85"/>
  <c r="J11" i="85"/>
  <c r="K11" i="85"/>
  <c r="L11" i="85"/>
  <c r="M11" i="85"/>
  <c r="N11" i="85"/>
  <c r="E12" i="85"/>
  <c r="F12" i="85"/>
  <c r="G12" i="85"/>
  <c r="H12" i="85"/>
  <c r="I12" i="85"/>
  <c r="J12" i="85"/>
  <c r="K12" i="85"/>
  <c r="L12" i="85"/>
  <c r="M12" i="85"/>
  <c r="N12" i="85"/>
  <c r="Q12" i="85" s="1"/>
  <c r="D12" i="85"/>
  <c r="D11" i="85"/>
  <c r="D10" i="85"/>
  <c r="D8" i="85"/>
  <c r="D7" i="85"/>
  <c r="D6" i="85"/>
  <c r="BK54" i="4" l="1"/>
  <c r="BK58" i="4" s="1"/>
  <c r="H153" i="148"/>
  <c r="F159" i="148" s="1"/>
  <c r="F212" i="148"/>
  <c r="H207" i="148"/>
  <c r="H213" i="148"/>
  <c r="H218" i="148" s="1"/>
  <c r="F154" i="148"/>
  <c r="H208" i="148"/>
  <c r="F150" i="148"/>
  <c r="F158" i="148"/>
  <c r="L144" i="148"/>
  <c r="F151" i="148"/>
  <c r="J325" i="148"/>
  <c r="H211" i="148"/>
  <c r="L147" i="148"/>
  <c r="L135" i="73"/>
  <c r="M135" i="73" s="1"/>
  <c r="F165" i="148" l="1"/>
  <c r="H171" i="148" s="1"/>
  <c r="H165" i="148"/>
  <c r="H159" i="148"/>
  <c r="H154" i="148"/>
  <c r="H212" i="148"/>
  <c r="H151" i="148"/>
  <c r="L149" i="148"/>
  <c r="H164" i="148"/>
  <c r="H158" i="148"/>
  <c r="F155" i="148"/>
  <c r="H150" i="148"/>
  <c r="H344" i="128"/>
  <c r="H343" i="128"/>
  <c r="H342" i="128"/>
  <c r="H341" i="128"/>
  <c r="H346" i="128" s="1"/>
  <c r="G346" i="128"/>
  <c r="F346" i="128"/>
  <c r="O28" i="94"/>
  <c r="P28" i="94" s="1"/>
  <c r="M327" i="94"/>
  <c r="O92" i="94"/>
  <c r="P92" i="94" s="1"/>
  <c r="L114" i="73"/>
  <c r="M114" i="73" s="1"/>
  <c r="L113" i="73"/>
  <c r="M113" i="73" s="1"/>
  <c r="L112" i="73"/>
  <c r="M112" i="73" s="1"/>
  <c r="L136" i="73"/>
  <c r="M136" i="73" s="1"/>
  <c r="G363" i="128"/>
  <c r="F356" i="128"/>
  <c r="F357" i="128" s="1"/>
  <c r="J337" i="128"/>
  <c r="G355" i="128"/>
  <c r="J332" i="128"/>
  <c r="J331" i="128"/>
  <c r="K7" i="104"/>
  <c r="K9" i="104"/>
  <c r="L9" i="104" s="1"/>
  <c r="K13" i="104"/>
  <c r="K18" i="104"/>
  <c r="L18" i="104" s="1"/>
  <c r="K19" i="104"/>
  <c r="L19" i="104" s="1"/>
  <c r="K21" i="104"/>
  <c r="L21" i="104" s="1"/>
  <c r="K22" i="104"/>
  <c r="L22" i="104" s="1"/>
  <c r="K27" i="104"/>
  <c r="L27" i="104" s="1"/>
  <c r="K28" i="104"/>
  <c r="L28" i="104" s="1"/>
  <c r="K29" i="104"/>
  <c r="L29" i="104" s="1"/>
  <c r="K33" i="104"/>
  <c r="K34" i="104"/>
  <c r="L34" i="104" s="1"/>
  <c r="K35" i="104"/>
  <c r="L35" i="104" s="1"/>
  <c r="K42" i="104"/>
  <c r="K50" i="104"/>
  <c r="L50" i="104" s="1"/>
  <c r="K53" i="104"/>
  <c r="L53" i="104" s="1"/>
  <c r="K54" i="104"/>
  <c r="L54" i="104" s="1"/>
  <c r="K61" i="104"/>
  <c r="K65" i="104"/>
  <c r="K66" i="104"/>
  <c r="L66" i="104" s="1"/>
  <c r="K67" i="104"/>
  <c r="L67" i="104" s="1"/>
  <c r="K71" i="104"/>
  <c r="L71" i="104" s="1"/>
  <c r="H155" i="148" l="1"/>
  <c r="F157" i="148"/>
  <c r="F156" i="148"/>
  <c r="L221" i="148"/>
  <c r="F160" i="148"/>
  <c r="G357" i="128"/>
  <c r="F358" i="128"/>
  <c r="G356" i="128"/>
  <c r="K20" i="104"/>
  <c r="L20" i="104" s="1"/>
  <c r="K55" i="104"/>
  <c r="L55" i="104" s="1"/>
  <c r="K24" i="104"/>
  <c r="L24" i="104" s="1"/>
  <c r="G28" i="141"/>
  <c r="J342" i="128"/>
  <c r="J341" i="128"/>
  <c r="H336" i="128"/>
  <c r="H337" i="128"/>
  <c r="H340" i="128" s="1"/>
  <c r="H338" i="128"/>
  <c r="H335" i="128"/>
  <c r="H333" i="128"/>
  <c r="H332" i="128"/>
  <c r="H334" i="128" s="1"/>
  <c r="H331" i="128"/>
  <c r="H330" i="128"/>
  <c r="H329" i="128"/>
  <c r="J339" i="128"/>
  <c r="F340" i="128"/>
  <c r="G340" i="128"/>
  <c r="G334" i="128"/>
  <c r="F334" i="128"/>
  <c r="F18" i="141"/>
  <c r="L45" i="73"/>
  <c r="M45" i="73" s="1"/>
  <c r="O120" i="111"/>
  <c r="O10" i="94"/>
  <c r="P10" i="94" s="1"/>
  <c r="F166" i="148" l="1"/>
  <c r="H172" i="148" s="1"/>
  <c r="H160" i="148"/>
  <c r="F161" i="148"/>
  <c r="H156" i="148"/>
  <c r="H157" i="148"/>
  <c r="F359" i="128"/>
  <c r="F360" i="128" s="1"/>
  <c r="G358" i="128"/>
  <c r="G361" i="128" s="1"/>
  <c r="K143" i="72"/>
  <c r="L143" i="72" s="1"/>
  <c r="F163" i="148" l="1"/>
  <c r="H166" i="148"/>
  <c r="H161" i="148"/>
  <c r="F162" i="148"/>
  <c r="L223" i="148"/>
  <c r="L90" i="73"/>
  <c r="M90" i="73" s="1"/>
  <c r="H169" i="148" l="1"/>
  <c r="H163" i="148"/>
  <c r="L220" i="148" s="1"/>
  <c r="H168" i="148"/>
  <c r="F167" i="148"/>
  <c r="H162" i="148"/>
  <c r="CK63" i="4"/>
  <c r="H167" i="148" l="1"/>
  <c r="L219" i="148"/>
  <c r="L224" i="148" s="1"/>
  <c r="H173" i="148"/>
  <c r="CK62" i="4"/>
  <c r="CK61" i="4"/>
  <c r="O253" i="94"/>
  <c r="P253" i="94" s="1"/>
  <c r="O252" i="94"/>
  <c r="P252" i="94" s="1"/>
  <c r="K146" i="72"/>
  <c r="L146" i="72" s="1"/>
  <c r="K145" i="72"/>
  <c r="L145" i="72" s="1"/>
  <c r="K144" i="72"/>
  <c r="L144" i="72" s="1"/>
  <c r="K124" i="72"/>
  <c r="L124" i="72" s="1"/>
  <c r="K118" i="72"/>
  <c r="L118" i="72" s="1"/>
  <c r="K117" i="72"/>
  <c r="L117" i="72" s="1"/>
  <c r="K116" i="72"/>
  <c r="L116" i="72" s="1"/>
  <c r="K115" i="72"/>
  <c r="L115" i="72" s="1"/>
  <c r="K141" i="72"/>
  <c r="L141" i="72" s="1"/>
  <c r="K139" i="72"/>
  <c r="L139" i="72" s="1"/>
  <c r="K138" i="72"/>
  <c r="L138" i="72" s="1"/>
  <c r="K137" i="72"/>
  <c r="L137" i="72" s="1"/>
  <c r="K136" i="72"/>
  <c r="L136" i="72" s="1"/>
  <c r="K135" i="72"/>
  <c r="L135" i="72" s="1"/>
  <c r="K134" i="72"/>
  <c r="L134" i="72" s="1"/>
  <c r="K133" i="72"/>
  <c r="L133" i="72" s="1"/>
  <c r="K132" i="72"/>
  <c r="L132" i="72" s="1"/>
  <c r="K131" i="72"/>
  <c r="L131" i="72" s="1"/>
  <c r="K130" i="72"/>
  <c r="L130" i="72" s="1"/>
  <c r="K129" i="72"/>
  <c r="L129" i="72" s="1"/>
  <c r="K128" i="72"/>
  <c r="L128" i="72" s="1"/>
  <c r="K162" i="87"/>
  <c r="L162" i="87" s="1"/>
  <c r="K161" i="87"/>
  <c r="L161" i="87" s="1"/>
  <c r="O147" i="94"/>
  <c r="P147" i="94" s="1"/>
  <c r="BW62" i="4"/>
  <c r="H307" i="128"/>
  <c r="H319" i="128"/>
  <c r="H313" i="128"/>
  <c r="H268" i="128"/>
  <c r="O11" i="141"/>
  <c r="N11" i="141"/>
  <c r="M11" i="141"/>
  <c r="L11" i="141"/>
  <c r="K11" i="141"/>
  <c r="J11" i="141"/>
  <c r="F16" i="141"/>
  <c r="H315" i="128"/>
  <c r="H320" i="128"/>
  <c r="H327" i="128"/>
  <c r="H326" i="128"/>
  <c r="H324" i="128"/>
  <c r="H328" i="128" s="1"/>
  <c r="H325" i="128"/>
  <c r="H323" i="128"/>
  <c r="G328" i="128"/>
  <c r="F328" i="128"/>
  <c r="H203" i="73"/>
  <c r="H196" i="73"/>
  <c r="AB9" i="4"/>
  <c r="H318" i="128"/>
  <c r="H322" i="128" s="1"/>
  <c r="H317" i="128"/>
  <c r="H314" i="128"/>
  <c r="H312" i="128"/>
  <c r="H311" i="128"/>
  <c r="H305" i="128"/>
  <c r="G322" i="128"/>
  <c r="F322" i="128"/>
  <c r="H316" i="128"/>
  <c r="G316" i="128"/>
  <c r="F316" i="128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Q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55" i="73"/>
  <c r="K18" i="72"/>
  <c r="L18" i="72" s="1"/>
  <c r="K17" i="72"/>
  <c r="L17" i="72" s="1"/>
  <c r="K163" i="72"/>
  <c r="L163" i="72" s="1"/>
  <c r="K162" i="72"/>
  <c r="L162" i="72" s="1"/>
  <c r="K172" i="72"/>
  <c r="L172" i="72" s="1"/>
  <c r="K171" i="72"/>
  <c r="L171" i="72" s="1"/>
  <c r="K166" i="72"/>
  <c r="L166" i="72" s="1"/>
  <c r="L154" i="72"/>
  <c r="K151" i="72"/>
  <c r="L151" i="72" s="1"/>
  <c r="K150" i="72"/>
  <c r="L150" i="72" s="1"/>
  <c r="K127" i="72"/>
  <c r="L127" i="72" s="1"/>
  <c r="K126" i="72"/>
  <c r="L126" i="72" s="1"/>
  <c r="K123" i="72"/>
  <c r="L123" i="72" s="1"/>
  <c r="K122" i="72"/>
  <c r="L122" i="72" s="1"/>
  <c r="K121" i="72"/>
  <c r="L121" i="72" s="1"/>
  <c r="K114" i="72"/>
  <c r="L114" i="72" s="1"/>
  <c r="K113" i="72"/>
  <c r="L113" i="72" s="1"/>
  <c r="K112" i="72"/>
  <c r="L112" i="72" s="1"/>
  <c r="K111" i="72"/>
  <c r="L111" i="72" s="1"/>
  <c r="K110" i="72"/>
  <c r="L110" i="72" s="1"/>
  <c r="K109" i="72"/>
  <c r="L109" i="72" s="1"/>
  <c r="K106" i="72"/>
  <c r="L106" i="72" s="1"/>
  <c r="K105" i="72"/>
  <c r="L105" i="72" s="1"/>
  <c r="K104" i="72"/>
  <c r="L104" i="72" s="1"/>
  <c r="K102" i="72"/>
  <c r="L102" i="72" s="1"/>
  <c r="K101" i="72"/>
  <c r="L101" i="72" s="1"/>
  <c r="K99" i="72"/>
  <c r="L99" i="72" s="1"/>
  <c r="K96" i="72"/>
  <c r="L96" i="72" s="1"/>
  <c r="K95" i="72"/>
  <c r="L95" i="72" s="1"/>
  <c r="K94" i="72"/>
  <c r="L94" i="72" s="1"/>
  <c r="K93" i="72"/>
  <c r="L93" i="72" s="1"/>
  <c r="K91" i="72"/>
  <c r="L91" i="72" s="1"/>
  <c r="K90" i="72"/>
  <c r="L90" i="72" s="1"/>
  <c r="K89" i="72"/>
  <c r="L89" i="72" s="1"/>
  <c r="K86" i="72"/>
  <c r="L86" i="72" s="1"/>
  <c r="K85" i="72"/>
  <c r="L85" i="72" s="1"/>
  <c r="K84" i="72"/>
  <c r="L84" i="72" s="1"/>
  <c r="K83" i="72"/>
  <c r="L83" i="72" s="1"/>
  <c r="K82" i="72"/>
  <c r="L82" i="72" s="1"/>
  <c r="K78" i="72"/>
  <c r="L78" i="72" s="1"/>
  <c r="K75" i="72"/>
  <c r="L75" i="72" s="1"/>
  <c r="K74" i="72"/>
  <c r="L74" i="72" s="1"/>
  <c r="K71" i="72"/>
  <c r="L71" i="72" s="1"/>
  <c r="K70" i="72"/>
  <c r="L70" i="72" s="1"/>
  <c r="K57" i="72"/>
  <c r="L57" i="72" s="1"/>
  <c r="K56" i="72"/>
  <c r="L56" i="72" s="1"/>
  <c r="K43" i="72"/>
  <c r="L43" i="72" s="1"/>
  <c r="K42" i="72"/>
  <c r="L42" i="72" s="1"/>
  <c r="K39" i="72"/>
  <c r="L39" i="72" s="1"/>
  <c r="K38" i="72"/>
  <c r="L38" i="72" s="1"/>
  <c r="K37" i="72"/>
  <c r="L37" i="72" s="1"/>
  <c r="K25" i="72"/>
  <c r="L25" i="72" s="1"/>
  <c r="K24" i="72"/>
  <c r="L24" i="72" s="1"/>
  <c r="K204" i="87"/>
  <c r="L204" i="87" s="1"/>
  <c r="K186" i="87"/>
  <c r="L186" i="87" s="1"/>
  <c r="K185" i="87"/>
  <c r="L185" i="87" s="1"/>
  <c r="K163" i="87"/>
  <c r="L163" i="87" s="1"/>
  <c r="K160" i="87"/>
  <c r="L160" i="87" s="1"/>
  <c r="K141" i="87"/>
  <c r="L141" i="87" s="1"/>
  <c r="K138" i="87"/>
  <c r="L138" i="87" s="1"/>
  <c r="K137" i="87"/>
  <c r="L137" i="87" s="1"/>
  <c r="K136" i="87"/>
  <c r="L136" i="87" s="1"/>
  <c r="K134" i="87"/>
  <c r="L134" i="87" s="1"/>
  <c r="K131" i="87"/>
  <c r="L131" i="87" s="1"/>
  <c r="K130" i="87"/>
  <c r="L130" i="87" s="1"/>
  <c r="K127" i="87"/>
  <c r="L127" i="87" s="1"/>
  <c r="K126" i="87"/>
  <c r="L126" i="87" s="1"/>
  <c r="K125" i="87"/>
  <c r="L125" i="87" s="1"/>
  <c r="K122" i="87"/>
  <c r="L122" i="87" s="1"/>
  <c r="K119" i="87"/>
  <c r="L119" i="87" s="1"/>
  <c r="K118" i="87"/>
  <c r="L118" i="87" s="1"/>
  <c r="K113" i="87"/>
  <c r="L113" i="87" s="1"/>
  <c r="K112" i="87"/>
  <c r="L112" i="87" s="1"/>
  <c r="K111" i="87"/>
  <c r="L111" i="87" s="1"/>
  <c r="K109" i="87"/>
  <c r="L109" i="87" s="1"/>
  <c r="K108" i="87"/>
  <c r="L108" i="87" s="1"/>
  <c r="K106" i="87"/>
  <c r="L106" i="87" s="1"/>
  <c r="K105" i="87"/>
  <c r="L105" i="87" s="1"/>
  <c r="K103" i="87"/>
  <c r="L103" i="87" s="1"/>
  <c r="K98" i="87"/>
  <c r="L98" i="87" s="1"/>
  <c r="K97" i="87"/>
  <c r="L97" i="87" s="1"/>
  <c r="K95" i="87"/>
  <c r="L95" i="87" s="1"/>
  <c r="K94" i="87"/>
  <c r="L94" i="87" s="1"/>
  <c r="K93" i="87"/>
  <c r="L93" i="87" s="1"/>
  <c r="K92" i="87"/>
  <c r="L92" i="87" s="1"/>
  <c r="K83" i="87"/>
  <c r="L83" i="87" s="1"/>
  <c r="K82" i="87"/>
  <c r="L82" i="87" s="1"/>
  <c r="K75" i="87"/>
  <c r="L75" i="87" s="1"/>
  <c r="K74" i="87"/>
  <c r="L74" i="87" s="1"/>
  <c r="K79" i="87"/>
  <c r="L79" i="87" s="1"/>
  <c r="K72" i="87"/>
  <c r="L72" i="87" s="1"/>
  <c r="K67" i="87"/>
  <c r="L67" i="87" s="1"/>
  <c r="K66" i="87"/>
  <c r="L66" i="87" s="1"/>
  <c r="K64" i="87"/>
  <c r="L64" i="87" s="1"/>
  <c r="K57" i="87"/>
  <c r="L57" i="87" s="1"/>
  <c r="K56" i="87"/>
  <c r="L56" i="87" s="1"/>
  <c r="K60" i="87"/>
  <c r="L60" i="87" s="1"/>
  <c r="K59" i="87"/>
  <c r="L59" i="87" s="1"/>
  <c r="K38" i="87"/>
  <c r="L38" i="87" s="1"/>
  <c r="K15" i="87"/>
  <c r="L15" i="87" s="1"/>
  <c r="K5" i="87"/>
  <c r="L5" i="87" s="1"/>
  <c r="K53" i="106"/>
  <c r="L53" i="106" s="1"/>
  <c r="K52" i="106"/>
  <c r="L52" i="106" s="1"/>
  <c r="K34" i="106"/>
  <c r="L34" i="106" s="1"/>
  <c r="K33" i="106"/>
  <c r="L33" i="106" s="1"/>
  <c r="K28" i="106"/>
  <c r="L28" i="106" s="1"/>
  <c r="K27" i="106"/>
  <c r="L27" i="106" s="1"/>
  <c r="K25" i="106"/>
  <c r="L25" i="106" s="1"/>
  <c r="K24" i="106"/>
  <c r="L24" i="106" s="1"/>
  <c r="K22" i="106"/>
  <c r="L22" i="106" s="1"/>
  <c r="K21" i="106"/>
  <c r="L21" i="106" s="1"/>
  <c r="K19" i="106"/>
  <c r="L19" i="106" s="1"/>
  <c r="K9" i="137"/>
  <c r="L9" i="137" s="1"/>
  <c r="L60" i="125"/>
  <c r="L59" i="125"/>
  <c r="L57" i="125"/>
  <c r="L56" i="125"/>
  <c r="L51" i="125"/>
  <c r="L50" i="125"/>
  <c r="L49" i="125"/>
  <c r="L47" i="125"/>
  <c r="L46" i="125"/>
  <c r="K66" i="105"/>
  <c r="L66" i="105" s="1"/>
  <c r="K65" i="105"/>
  <c r="L65" i="105" s="1"/>
  <c r="K64" i="105"/>
  <c r="L64" i="105" s="1"/>
  <c r="K59" i="105"/>
  <c r="L59" i="105" s="1"/>
  <c r="K58" i="105"/>
  <c r="L58" i="105" s="1"/>
  <c r="K50" i="105"/>
  <c r="L50" i="105" s="1"/>
  <c r="K49" i="105"/>
  <c r="L49" i="105" s="1"/>
  <c r="K43" i="105"/>
  <c r="L43" i="105" s="1"/>
  <c r="K34" i="105"/>
  <c r="L34" i="105" s="1"/>
  <c r="O22" i="145" l="1"/>
  <c r="N30" i="145"/>
  <c r="O32" i="94"/>
  <c r="P32" i="94" s="1"/>
  <c r="O31" i="94"/>
  <c r="P31" i="94" s="1"/>
  <c r="O39" i="94"/>
  <c r="P39" i="94" s="1"/>
  <c r="O38" i="94"/>
  <c r="P38" i="94" s="1"/>
  <c r="O63" i="94"/>
  <c r="P63" i="94" s="1"/>
  <c r="O64" i="94"/>
  <c r="P64" i="94" s="1"/>
  <c r="O69" i="94"/>
  <c r="P69" i="94" s="1"/>
  <c r="O68" i="94"/>
  <c r="P68" i="94" s="1"/>
  <c r="O67" i="94"/>
  <c r="P67" i="94" s="1"/>
  <c r="O76" i="94"/>
  <c r="P76" i="94" s="1"/>
  <c r="O113" i="94"/>
  <c r="P113" i="94" s="1"/>
  <c r="O112" i="94"/>
  <c r="P112" i="94" s="1"/>
  <c r="O105" i="94"/>
  <c r="P105" i="94" s="1"/>
  <c r="O137" i="94"/>
  <c r="P137" i="94" s="1"/>
  <c r="O136" i="94"/>
  <c r="P136" i="94" s="1"/>
  <c r="O184" i="94"/>
  <c r="P184" i="94" s="1"/>
  <c r="BL67" i="4" l="1"/>
  <c r="BK67" i="4"/>
  <c r="AF61" i="4"/>
  <c r="V64" i="4"/>
  <c r="V35" i="4"/>
  <c r="V34" i="4"/>
  <c r="Q69" i="4"/>
  <c r="P35" i="4"/>
  <c r="DR35" i="4"/>
  <c r="DR34" i="4"/>
  <c r="DB35" i="4"/>
  <c r="DB34" i="4"/>
  <c r="CU35" i="4"/>
  <c r="CV35" i="4"/>
  <c r="CV34" i="4"/>
  <c r="CU34" i="4"/>
  <c r="CV25" i="4"/>
  <c r="CU25" i="4"/>
  <c r="CP48" i="4"/>
  <c r="CO48" i="4"/>
  <c r="CO35" i="4"/>
  <c r="CP35" i="4"/>
  <c r="CP34" i="4"/>
  <c r="CO34" i="4"/>
  <c r="CP25" i="4"/>
  <c r="CO25" i="4"/>
  <c r="CL63" i="4"/>
  <c r="CK35" i="4"/>
  <c r="CL35" i="4"/>
  <c r="CL34" i="4"/>
  <c r="CK34" i="4"/>
  <c r="CL30" i="4"/>
  <c r="CK30" i="4"/>
  <c r="CL25" i="4"/>
  <c r="CK25" i="4"/>
  <c r="CL21" i="4"/>
  <c r="CK21" i="4"/>
  <c r="CI61" i="4"/>
  <c r="CH35" i="4"/>
  <c r="CI35" i="4"/>
  <c r="CI34" i="4"/>
  <c r="CI25" i="4"/>
  <c r="CI22" i="4"/>
  <c r="CH22" i="4"/>
  <c r="CD35" i="4"/>
  <c r="CE35" i="4"/>
  <c r="CE34" i="4"/>
  <c r="CD34" i="4"/>
  <c r="CB35" i="4"/>
  <c r="CA35" i="4"/>
  <c r="BZ34" i="4"/>
  <c r="CA34" i="4"/>
  <c r="BW35" i="4"/>
  <c r="BX35" i="4"/>
  <c r="BX34" i="4"/>
  <c r="BW34" i="4"/>
  <c r="BU35" i="4"/>
  <c r="BT35" i="4"/>
  <c r="BT34" i="4"/>
  <c r="BU34" i="4"/>
  <c r="BR35" i="4"/>
  <c r="BR34" i="4"/>
  <c r="BO35" i="4"/>
  <c r="BO34" i="4"/>
  <c r="BH35" i="4"/>
  <c r="BI35" i="4"/>
  <c r="BI34" i="4"/>
  <c r="BH34" i="4"/>
  <c r="BF35" i="4"/>
  <c r="BE35" i="4"/>
  <c r="BE34" i="4"/>
  <c r="BF34" i="4"/>
  <c r="BF30" i="4"/>
  <c r="BE30" i="4"/>
  <c r="BC35" i="4"/>
  <c r="BC34" i="4"/>
  <c r="BB30" i="4"/>
  <c r="BC30" i="4"/>
  <c r="AY62" i="4"/>
  <c r="AZ61" i="4"/>
  <c r="AZ62" i="4"/>
  <c r="AY61" i="4"/>
  <c r="AZ35" i="4"/>
  <c r="AY34" i="4"/>
  <c r="AZ34" i="4"/>
  <c r="AZ30" i="4"/>
  <c r="AY30" i="4"/>
  <c r="AZ21" i="4"/>
  <c r="AT35" i="4"/>
  <c r="AT34" i="4"/>
  <c r="AS61" i="4"/>
  <c r="BH54" i="4" l="1"/>
  <c r="BH58" i="4" s="1"/>
  <c r="BU54" i="4"/>
  <c r="BU58" i="4" s="1"/>
  <c r="CA54" i="4"/>
  <c r="CA58" i="4" s="1"/>
  <c r="BX54" i="4"/>
  <c r="BX58" i="4" s="1"/>
  <c r="CE54" i="4"/>
  <c r="CE58" i="4" s="1"/>
  <c r="AT54" i="4"/>
  <c r="AT58" i="4" s="1"/>
  <c r="DB54" i="4"/>
  <c r="DB58" i="4" s="1"/>
  <c r="BI54" i="4"/>
  <c r="BI58" i="4" s="1"/>
  <c r="BT54" i="4"/>
  <c r="BT58" i="4" s="1"/>
  <c r="BO54" i="4"/>
  <c r="BO58" i="4" s="1"/>
  <c r="BW54" i="4"/>
  <c r="BW58" i="4" s="1"/>
  <c r="CD54" i="4"/>
  <c r="CD58" i="4" s="1"/>
  <c r="BR54" i="4"/>
  <c r="BR58" i="4" s="1"/>
  <c r="CU54" i="4"/>
  <c r="CU58" i="4" s="1"/>
  <c r="CV54" i="4"/>
  <c r="CV58" i="4" s="1"/>
  <c r="CI54" i="4"/>
  <c r="CI58" i="4" s="1"/>
  <c r="BC54" i="4"/>
  <c r="BC58" i="4" s="1"/>
  <c r="AZ54" i="4"/>
  <c r="AZ58" i="4" s="1"/>
  <c r="BE54" i="4"/>
  <c r="BE58" i="4" s="1"/>
  <c r="CO54" i="4"/>
  <c r="CO58" i="4" s="1"/>
  <c r="BF54" i="4"/>
  <c r="BF58" i="4" s="1"/>
  <c r="CP54" i="4"/>
  <c r="CP58" i="4" s="1"/>
  <c r="AR64" i="4"/>
  <c r="AQ63" i="4" l="1"/>
  <c r="AQ35" i="4"/>
  <c r="AQ34" i="4"/>
  <c r="AN28" i="4"/>
  <c r="AM61" i="4"/>
  <c r="AN61" i="4"/>
  <c r="AN35" i="4"/>
  <c r="AM34" i="4"/>
  <c r="AN34" i="4"/>
  <c r="AV62" i="4"/>
  <c r="AW62" i="4"/>
  <c r="AW61" i="4"/>
  <c r="AV61" i="4"/>
  <c r="AW35" i="4"/>
  <c r="AW34" i="4"/>
  <c r="AW22" i="4"/>
  <c r="AN22" i="4"/>
  <c r="AN21" i="4"/>
  <c r="AK35" i="4"/>
  <c r="AK34" i="4"/>
  <c r="AJ30" i="4"/>
  <c r="AK30" i="4"/>
  <c r="AK22" i="4"/>
  <c r="AK21" i="4"/>
  <c r="AD35" i="4"/>
  <c r="AD34" i="4"/>
  <c r="AD22" i="4"/>
  <c r="AD21" i="4"/>
  <c r="AK54" i="4" l="1"/>
  <c r="AK58" i="4" s="1"/>
  <c r="AD54" i="4"/>
  <c r="AD58" i="4" s="1"/>
  <c r="AN54" i="4"/>
  <c r="AN58" i="4" s="1"/>
  <c r="AQ54" i="4"/>
  <c r="AQ58" i="4" s="1"/>
  <c r="AW54" i="4"/>
  <c r="AW58" i="4" s="1"/>
  <c r="H302" i="128"/>
  <c r="H308" i="128"/>
  <c r="H306" i="128"/>
  <c r="H310" i="128"/>
  <c r="G310" i="128"/>
  <c r="F310" i="128"/>
  <c r="H297" i="128" l="1"/>
  <c r="H300" i="128"/>
  <c r="H301" i="128"/>
  <c r="H299" i="128"/>
  <c r="H304" i="128"/>
  <c r="G304" i="128"/>
  <c r="F304" i="128"/>
  <c r="O13" i="94" l="1"/>
  <c r="P13" i="94" s="1"/>
  <c r="R269" i="94"/>
  <c r="R170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K147" i="87" l="1"/>
  <c r="L147" i="87" s="1"/>
  <c r="K145" i="87"/>
  <c r="L145" i="87" s="1"/>
  <c r="K144" i="87"/>
  <c r="L144" i="87" s="1"/>
  <c r="K143" i="87"/>
  <c r="L143" i="87" s="1"/>
  <c r="O100" i="94"/>
  <c r="P100" i="94" s="1"/>
  <c r="H284" i="128" l="1"/>
  <c r="H283" i="128"/>
  <c r="H282" i="128"/>
  <c r="H281" i="128"/>
  <c r="G286" i="128"/>
  <c r="H286" i="128"/>
  <c r="F286" i="128"/>
  <c r="N120" i="111" l="1"/>
  <c r="N121" i="111"/>
  <c r="L5" i="125"/>
  <c r="L6" i="125"/>
  <c r="L9" i="125"/>
  <c r="L10" i="125"/>
  <c r="L12" i="125"/>
  <c r="L13" i="125"/>
  <c r="L15" i="125"/>
  <c r="L16" i="125"/>
  <c r="L18" i="125"/>
  <c r="L19" i="125"/>
  <c r="L21" i="125"/>
  <c r="L22" i="125"/>
  <c r="L24" i="125"/>
  <c r="L25" i="125"/>
  <c r="L27" i="125"/>
  <c r="L28" i="125"/>
  <c r="L30" i="125"/>
  <c r="L31" i="125"/>
  <c r="L33" i="125"/>
  <c r="L34" i="125"/>
  <c r="L36" i="125"/>
  <c r="L37" i="125"/>
  <c r="L42" i="125"/>
  <c r="L43" i="125"/>
  <c r="L53" i="125"/>
  <c r="L54" i="125"/>
  <c r="K65" i="125"/>
  <c r="L65" i="125" s="1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L132" i="73"/>
  <c r="M132" i="73" s="1"/>
  <c r="L133" i="73"/>
  <c r="M133" i="73" s="1"/>
  <c r="L134" i="73"/>
  <c r="M134" i="73" s="1"/>
  <c r="G280" i="128"/>
  <c r="F280" i="128"/>
  <c r="H279" i="128"/>
  <c r="H278" i="128"/>
  <c r="H277" i="128"/>
  <c r="H276" i="128"/>
  <c r="H280" i="128" s="1"/>
  <c r="G275" i="128"/>
  <c r="F275" i="128"/>
  <c r="H274" i="128"/>
  <c r="H273" i="128"/>
  <c r="H272" i="128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H259" i="128"/>
  <c r="H257" i="128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H237" i="128"/>
  <c r="J237" i="128" s="1"/>
  <c r="H236" i="128"/>
  <c r="H240" i="128" s="1"/>
  <c r="G235" i="128"/>
  <c r="F235" i="128"/>
  <c r="H234" i="128"/>
  <c r="H233" i="128"/>
  <c r="H232" i="128"/>
  <c r="H231" i="128"/>
  <c r="H235" i="128" s="1"/>
  <c r="G230" i="128"/>
  <c r="F230" i="128"/>
  <c r="H229" i="128"/>
  <c r="J229" i="128" s="1"/>
  <c r="H228" i="128"/>
  <c r="H227" i="128"/>
  <c r="H226" i="128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O68" i="4"/>
  <c r="AO69" i="4"/>
  <c r="AL68" i="4"/>
  <c r="K41" i="125" l="1"/>
  <c r="L58" i="125"/>
  <c r="L8" i="125"/>
  <c r="L20" i="125"/>
  <c r="L14" i="125"/>
  <c r="K29" i="125"/>
  <c r="L29" i="125" s="1"/>
  <c r="K38" i="125"/>
  <c r="L38" i="125" s="1"/>
  <c r="K35" i="125"/>
  <c r="L35" i="125" s="1"/>
  <c r="K62" i="125"/>
  <c r="L62" i="125" s="1"/>
  <c r="L52" i="125"/>
  <c r="L44" i="125"/>
  <c r="L23" i="125"/>
  <c r="L11" i="125"/>
  <c r="K32" i="125"/>
  <c r="L32" i="125" s="1"/>
  <c r="L17" i="125"/>
  <c r="K26" i="125"/>
  <c r="L26" i="125" s="1"/>
  <c r="L55" i="125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L77" i="128"/>
  <c r="H213" i="128"/>
  <c r="F212" i="128"/>
  <c r="H207" i="128"/>
  <c r="H153" i="128"/>
  <c r="F159" i="128" s="1"/>
  <c r="F208" i="128"/>
  <c r="F154" i="128"/>
  <c r="L144" i="128"/>
  <c r="L149" i="128" s="1"/>
  <c r="H150" i="128"/>
  <c r="F155" i="128"/>
  <c r="H71" i="128"/>
  <c r="H211" i="128"/>
  <c r="E14" i="132" l="1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O171" i="94"/>
  <c r="P171" i="94" s="1"/>
  <c r="O170" i="94"/>
  <c r="P170" i="94" s="1"/>
  <c r="O211" i="94"/>
  <c r="P211" i="94" s="1"/>
  <c r="O210" i="94"/>
  <c r="P210" i="94" s="1"/>
  <c r="O205" i="94"/>
  <c r="P205" i="94" s="1"/>
  <c r="O270" i="94"/>
  <c r="P270" i="94" s="1"/>
  <c r="O269" i="94"/>
  <c r="P269" i="94" s="1"/>
  <c r="Q171" i="94" l="1"/>
  <c r="Q270" i="94"/>
  <c r="H171" i="128"/>
  <c r="H165" i="128"/>
  <c r="F163" i="128"/>
  <c r="F162" i="128"/>
  <c r="H156" i="128"/>
  <c r="F160" i="128"/>
  <c r="F161" i="128" s="1"/>
  <c r="N140" i="11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L136" i="111" s="1"/>
  <c r="K135" i="111"/>
  <c r="K136" i="111" s="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M137" i="111" l="1"/>
  <c r="M136" i="111"/>
  <c r="N137" i="111"/>
  <c r="N136" i="111"/>
  <c r="N141" i="111"/>
  <c r="O139" i="11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O136" i="111" s="1"/>
  <c r="H172" i="128" l="1"/>
  <c r="H173" i="128" s="1"/>
  <c r="F167" i="128"/>
  <c r="H166" i="128"/>
  <c r="H167" i="128" s="1"/>
  <c r="H161" i="128"/>
  <c r="O6" i="1"/>
  <c r="L10" i="139"/>
  <c r="L223" i="128" l="1"/>
  <c r="L224" i="128" s="1"/>
  <c r="O320" i="94" l="1"/>
  <c r="P320" i="94" s="1"/>
  <c r="O295" i="94"/>
  <c r="P295" i="94" s="1"/>
  <c r="B37" i="134" l="1"/>
  <c r="F28" i="141" l="1"/>
  <c r="H28" i="141" l="1"/>
  <c r="L122" i="73"/>
  <c r="M122" i="73" s="1"/>
  <c r="L121" i="73"/>
  <c r="M121" i="73" s="1"/>
  <c r="L52" i="73"/>
  <c r="M52" i="73" s="1"/>
  <c r="BK62" i="4"/>
  <c r="BK61" i="4"/>
  <c r="I28" i="141" l="1"/>
  <c r="J28" i="141" s="1"/>
  <c r="K28" i="141" s="1"/>
  <c r="L28" i="141" s="1"/>
  <c r="M28" i="141" s="1"/>
  <c r="N28" i="141" s="1"/>
  <c r="O28" i="141" s="1"/>
  <c r="P28" i="141" s="1"/>
  <c r="Q28" i="141" s="1"/>
  <c r="R28" i="141" s="1"/>
  <c r="S28" i="141" s="1"/>
  <c r="T28" i="141" s="1"/>
  <c r="CD61" i="4"/>
  <c r="O176" i="94"/>
  <c r="P176" i="94" s="1"/>
  <c r="O173" i="94"/>
  <c r="P173" i="94" s="1"/>
  <c r="O179" i="94"/>
  <c r="P179" i="94" s="1"/>
  <c r="O180" i="94"/>
  <c r="P180" i="94" s="1"/>
  <c r="O178" i="94"/>
  <c r="P178" i="94" s="1"/>
  <c r="O177" i="94"/>
  <c r="P177" i="94" s="1"/>
  <c r="O175" i="94"/>
  <c r="P175" i="94" s="1"/>
  <c r="O174" i="94"/>
  <c r="P174" i="94" s="1"/>
  <c r="O172" i="94"/>
  <c r="P172" i="94" s="1"/>
  <c r="Q177" i="94" l="1"/>
  <c r="Q179" i="94"/>
  <c r="Q172" i="94"/>
  <c r="Q174" i="94"/>
  <c r="Q173" i="94"/>
  <c r="Q175" i="94"/>
  <c r="O15" i="1"/>
  <c r="DK34" i="4" l="1"/>
  <c r="DK54" i="4" s="1"/>
  <c r="DK58" i="4" s="1"/>
  <c r="DL34" i="4"/>
  <c r="DL54" i="4" s="1"/>
  <c r="DL58" i="4" s="1"/>
  <c r="O77" i="94" l="1"/>
  <c r="P77" i="94" s="1"/>
  <c r="O139" i="94" l="1"/>
  <c r="P139" i="94" s="1"/>
  <c r="O138" i="94"/>
  <c r="P138" i="94" s="1"/>
  <c r="O244" i="94"/>
  <c r="P244" i="94" s="1"/>
  <c r="O243" i="94"/>
  <c r="P243" i="94" s="1"/>
  <c r="O228" i="94"/>
  <c r="P228" i="94" s="1"/>
  <c r="O227" i="94"/>
  <c r="P227" i="94" s="1"/>
  <c r="I11" i="141" l="1"/>
  <c r="G11" i="141"/>
  <c r="H11" i="141" s="1"/>
  <c r="E28" i="141" l="1"/>
  <c r="T18" i="141" l="1"/>
  <c r="U18" i="141" s="1"/>
  <c r="D252" i="73" l="1"/>
  <c r="L234" i="73" l="1"/>
  <c r="L131" i="73"/>
  <c r="M131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G16" i="14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E15" i="141"/>
  <c r="F15" i="141" s="1"/>
  <c r="G15" i="141" s="1"/>
  <c r="H15" i="141" s="1"/>
  <c r="C24" i="141"/>
  <c r="D24" i="141" s="1"/>
  <c r="E24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E30" i="141" l="1"/>
  <c r="D30" i="141"/>
  <c r="G10" i="141"/>
  <c r="F25" i="141"/>
  <c r="F7" i="141"/>
  <c r="F12" i="141" s="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G30" i="141" l="1"/>
  <c r="I10" i="141"/>
  <c r="H24" i="141"/>
  <c r="H30" i="141" s="1"/>
  <c r="H25" i="141"/>
  <c r="H7" i="141"/>
  <c r="I26" i="141"/>
  <c r="I8" i="141"/>
  <c r="J10" i="141" l="1"/>
  <c r="J26" i="141"/>
  <c r="J8" i="141"/>
  <c r="I25" i="141"/>
  <c r="I7" i="141"/>
  <c r="I24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E5" i="141"/>
  <c r="O22" i="75"/>
  <c r="K21" i="127"/>
  <c r="L21" i="127" s="1"/>
  <c r="K15" i="127"/>
  <c r="L15" i="127" s="1"/>
  <c r="K12" i="127"/>
  <c r="L12" i="127" s="1"/>
  <c r="K9" i="127"/>
  <c r="L9" i="127" s="1"/>
  <c r="K8" i="127"/>
  <c r="L8" i="127" s="1"/>
  <c r="K6" i="127"/>
  <c r="L6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W61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P93" i="94"/>
  <c r="P88" i="94"/>
  <c r="P86" i="94"/>
  <c r="P85" i="94"/>
  <c r="P84" i="94"/>
  <c r="P83" i="94"/>
  <c r="R26" i="141" l="1"/>
  <c r="R8" i="141"/>
  <c r="Q25" i="141"/>
  <c r="Q7" i="141"/>
  <c r="Q24" i="141"/>
  <c r="K20" i="141"/>
  <c r="K21" i="141" s="1"/>
  <c r="H38" i="141"/>
  <c r="K59" i="106"/>
  <c r="L59" i="106" s="1"/>
  <c r="K58" i="106"/>
  <c r="L58" i="106" s="1"/>
  <c r="O292" i="94"/>
  <c r="P292" i="94" s="1"/>
  <c r="O291" i="94"/>
  <c r="P291" i="94" s="1"/>
  <c r="K179" i="87"/>
  <c r="L179" i="87" s="1"/>
  <c r="K178" i="87"/>
  <c r="L178" i="87" s="1"/>
  <c r="K153" i="87"/>
  <c r="L153" i="87" s="1"/>
  <c r="K152" i="87"/>
  <c r="L152" i="87" s="1"/>
  <c r="K116" i="87"/>
  <c r="L116" i="87" s="1"/>
  <c r="R24" i="141" l="1"/>
  <c r="R25" i="141"/>
  <c r="R7" i="141"/>
  <c r="S26" i="141"/>
  <c r="S8" i="141"/>
  <c r="L20" i="141"/>
  <c r="L21" i="141" s="1"/>
  <c r="I38" i="141"/>
  <c r="K169" i="72"/>
  <c r="L169" i="72" s="1"/>
  <c r="K168" i="72"/>
  <c r="L168" i="72" s="1"/>
  <c r="K206" i="87"/>
  <c r="L206" i="87" s="1"/>
  <c r="K205" i="87"/>
  <c r="L205" i="87" s="1"/>
  <c r="K156" i="105"/>
  <c r="L156" i="105" s="1"/>
  <c r="K155" i="105"/>
  <c r="L155" i="105" s="1"/>
  <c r="S25" i="141" l="1"/>
  <c r="S7" i="141"/>
  <c r="T26" i="141"/>
  <c r="T8" i="141"/>
  <c r="S24" i="141"/>
  <c r="M20" i="141"/>
  <c r="M21" i="141" s="1"/>
  <c r="J38" i="141"/>
  <c r="K69" i="87"/>
  <c r="L69" i="87" s="1"/>
  <c r="U26" i="141" l="1"/>
  <c r="U8" i="141"/>
  <c r="T24" i="141"/>
  <c r="T25" i="141"/>
  <c r="T7" i="141"/>
  <c r="N20" i="141"/>
  <c r="N21" i="141" s="1"/>
  <c r="K38" i="141"/>
  <c r="K44" i="87"/>
  <c r="L44" i="87" s="1"/>
  <c r="K29" i="105"/>
  <c r="L29" i="105" s="1"/>
  <c r="K32" i="87"/>
  <c r="L32" i="87" s="1"/>
  <c r="K31" i="87"/>
  <c r="L31" i="87" s="1"/>
  <c r="K30" i="87"/>
  <c r="L30" i="87" s="1"/>
  <c r="K25" i="105"/>
  <c r="L25" i="105" s="1"/>
  <c r="K28" i="87"/>
  <c r="L28" i="87" s="1"/>
  <c r="K27" i="87"/>
  <c r="L27" i="87" s="1"/>
  <c r="K25" i="87"/>
  <c r="L25" i="87" s="1"/>
  <c r="K10" i="72"/>
  <c r="L10" i="72" s="1"/>
  <c r="K22" i="87"/>
  <c r="L22" i="87" s="1"/>
  <c r="K21" i="87"/>
  <c r="L21" i="87" s="1"/>
  <c r="K20" i="105"/>
  <c r="L20" i="105" s="1"/>
  <c r="K8" i="72"/>
  <c r="L8" i="72" s="1"/>
  <c r="K18" i="87"/>
  <c r="L18" i="87" s="1"/>
  <c r="K17" i="87"/>
  <c r="L17" i="87" s="1"/>
  <c r="K16" i="105"/>
  <c r="L16" i="105" s="1"/>
  <c r="K8" i="87"/>
  <c r="L8" i="87" s="1"/>
  <c r="K9" i="106"/>
  <c r="L9" i="106" s="1"/>
  <c r="K9" i="105"/>
  <c r="L9" i="105" s="1"/>
  <c r="U25" i="141" l="1"/>
  <c r="U7" i="141"/>
  <c r="U24" i="141"/>
  <c r="O20" i="141"/>
  <c r="L38" i="141"/>
  <c r="L6" i="107"/>
  <c r="L10" i="107"/>
  <c r="L8" i="107"/>
  <c r="L9" i="107"/>
  <c r="L7" i="107"/>
  <c r="L34" i="123"/>
  <c r="L33" i="123"/>
  <c r="L31" i="123"/>
  <c r="L30" i="123"/>
  <c r="L5" i="107"/>
  <c r="L31" i="106"/>
  <c r="L30" i="106"/>
  <c r="L25" i="123"/>
  <c r="L24" i="123"/>
  <c r="L22" i="123"/>
  <c r="L21" i="123"/>
  <c r="L16" i="123"/>
  <c r="L15" i="123"/>
  <c r="L13" i="123"/>
  <c r="L12" i="123"/>
  <c r="L10" i="123"/>
  <c r="L9" i="123"/>
  <c r="L19" i="123"/>
  <c r="L18" i="123"/>
  <c r="L6" i="123"/>
  <c r="L5" i="123"/>
  <c r="L8" i="140"/>
  <c r="L7" i="140"/>
  <c r="L6" i="140"/>
  <c r="L5" i="140"/>
  <c r="L8" i="139"/>
  <c r="L7" i="139"/>
  <c r="L6" i="139"/>
  <c r="L5" i="139"/>
  <c r="L5" i="138"/>
  <c r="L6" i="138"/>
  <c r="L7" i="138"/>
  <c r="L8" i="138"/>
  <c r="P20" i="141" l="1"/>
  <c r="M38" i="141"/>
  <c r="L9" i="140"/>
  <c r="Q20" i="141" l="1"/>
  <c r="N38" i="141"/>
  <c r="L6" i="137"/>
  <c r="L5" i="137"/>
  <c r="K13" i="137" l="1"/>
  <c r="L13" i="137" s="1"/>
  <c r="K8" i="137" l="1"/>
  <c r="L8" i="137" s="1"/>
  <c r="K57" i="106" l="1"/>
  <c r="L57" i="106" s="1"/>
  <c r="K56" i="106"/>
  <c r="L56" i="106" s="1"/>
  <c r="O258" i="94"/>
  <c r="P258" i="94" s="1"/>
  <c r="K159" i="72"/>
  <c r="L159" i="72" s="1"/>
  <c r="K158" i="72"/>
  <c r="L158" i="72" s="1"/>
  <c r="O275" i="94"/>
  <c r="P275" i="94" s="1"/>
  <c r="O274" i="94"/>
  <c r="P274" i="94" s="1"/>
  <c r="O273" i="94"/>
  <c r="P273" i="94" s="1"/>
  <c r="O272" i="94"/>
  <c r="P272" i="94" s="1"/>
  <c r="O271" i="94"/>
  <c r="P271" i="94" s="1"/>
  <c r="O268" i="94"/>
  <c r="P268" i="94" s="1"/>
  <c r="O267" i="94"/>
  <c r="P267" i="94" s="1"/>
  <c r="O266" i="94"/>
  <c r="P266" i="94" s="1"/>
  <c r="O265" i="94"/>
  <c r="P265" i="94" s="1"/>
  <c r="O264" i="94"/>
  <c r="P264" i="94" s="1"/>
  <c r="O263" i="94"/>
  <c r="P263" i="94" s="1"/>
  <c r="O262" i="94"/>
  <c r="P262" i="94" s="1"/>
  <c r="O261" i="94"/>
  <c r="P261" i="94" s="1"/>
  <c r="O260" i="94"/>
  <c r="P260" i="94" s="1"/>
  <c r="K177" i="72"/>
  <c r="L177" i="72" s="1"/>
  <c r="K176" i="72"/>
  <c r="L176" i="72" s="1"/>
  <c r="K175" i="72"/>
  <c r="L175" i="72" s="1"/>
  <c r="O279" i="94"/>
  <c r="P279" i="94" s="1"/>
  <c r="O278" i="94"/>
  <c r="P278" i="94" s="1"/>
  <c r="K51" i="106"/>
  <c r="L51" i="106" s="1"/>
  <c r="K48" i="106"/>
  <c r="L48" i="106" s="1"/>
  <c r="K47" i="106"/>
  <c r="L47" i="106" s="1"/>
  <c r="K46" i="106"/>
  <c r="L46" i="106" s="1"/>
  <c r="L45" i="106"/>
  <c r="K44" i="106"/>
  <c r="L44" i="106" s="1"/>
  <c r="K43" i="106"/>
  <c r="L43" i="106" s="1"/>
  <c r="K42" i="106"/>
  <c r="L42" i="106" s="1"/>
  <c r="O245" i="94"/>
  <c r="P245" i="94" s="1"/>
  <c r="O166" i="94"/>
  <c r="P166" i="94" s="1"/>
  <c r="O165" i="94"/>
  <c r="P165" i="94" s="1"/>
  <c r="O164" i="94"/>
  <c r="P164" i="94" s="1"/>
  <c r="O163" i="94"/>
  <c r="P163" i="94" s="1"/>
  <c r="O162" i="94"/>
  <c r="P162" i="94" s="1"/>
  <c r="O161" i="94"/>
  <c r="P161" i="94" s="1"/>
  <c r="O158" i="94"/>
  <c r="P158" i="94" s="1"/>
  <c r="O157" i="94"/>
  <c r="P157" i="94" s="1"/>
  <c r="O142" i="94"/>
  <c r="P142" i="94" s="1"/>
  <c r="O141" i="94"/>
  <c r="P141" i="94" s="1"/>
  <c r="O124" i="94"/>
  <c r="P124" i="94" s="1"/>
  <c r="O123" i="94"/>
  <c r="P123" i="94" s="1"/>
  <c r="O130" i="94"/>
  <c r="P130" i="94" s="1"/>
  <c r="O129" i="94"/>
  <c r="P129" i="94" s="1"/>
  <c r="O128" i="94"/>
  <c r="P128" i="94" s="1"/>
  <c r="O127" i="94"/>
  <c r="P127" i="94" s="1"/>
  <c r="O122" i="94"/>
  <c r="P122" i="94" s="1"/>
  <c r="O121" i="94"/>
  <c r="P121" i="94" s="1"/>
  <c r="O120" i="94"/>
  <c r="P120" i="94" s="1"/>
  <c r="O119" i="94"/>
  <c r="P119" i="94" s="1"/>
  <c r="O118" i="94"/>
  <c r="P118" i="94" s="1"/>
  <c r="O117" i="94"/>
  <c r="P117" i="94" s="1"/>
  <c r="O108" i="94"/>
  <c r="P108" i="94" s="1"/>
  <c r="O107" i="94"/>
  <c r="P107" i="94" s="1"/>
  <c r="O103" i="94"/>
  <c r="P103" i="94" s="1"/>
  <c r="O242" i="94"/>
  <c r="P242" i="94" s="1"/>
  <c r="O241" i="94"/>
  <c r="P241" i="94" s="1"/>
  <c r="O240" i="94"/>
  <c r="P240" i="94" s="1"/>
  <c r="O239" i="94"/>
  <c r="P239" i="94" s="1"/>
  <c r="O238" i="94"/>
  <c r="P238" i="94" s="1"/>
  <c r="O237" i="94"/>
  <c r="P237" i="94" s="1"/>
  <c r="O236" i="94"/>
  <c r="P236" i="94" s="1"/>
  <c r="O235" i="94"/>
  <c r="P235" i="94" s="1"/>
  <c r="O234" i="94"/>
  <c r="P234" i="94" s="1"/>
  <c r="O233" i="94"/>
  <c r="P233" i="94" s="1"/>
  <c r="O232" i="94"/>
  <c r="P232" i="94" s="1"/>
  <c r="O231" i="94"/>
  <c r="P231" i="94" s="1"/>
  <c r="O226" i="94"/>
  <c r="P226" i="94" s="1"/>
  <c r="O225" i="94"/>
  <c r="P225" i="94" s="1"/>
  <c r="O224" i="94"/>
  <c r="P224" i="94" s="1"/>
  <c r="O223" i="94"/>
  <c r="P223" i="94" s="1"/>
  <c r="O222" i="94"/>
  <c r="P222" i="94" s="1"/>
  <c r="O221" i="94"/>
  <c r="P221" i="94" s="1"/>
  <c r="O220" i="94"/>
  <c r="P220" i="94" s="1"/>
  <c r="O219" i="94"/>
  <c r="P219" i="94" s="1"/>
  <c r="O218" i="94"/>
  <c r="P218" i="94" s="1"/>
  <c r="O217" i="94"/>
  <c r="P217" i="94" s="1"/>
  <c r="K111" i="105"/>
  <c r="L111" i="105" s="1"/>
  <c r="K110" i="105"/>
  <c r="L110" i="105" s="1"/>
  <c r="K109" i="105"/>
  <c r="L109" i="105" s="1"/>
  <c r="K108" i="105"/>
  <c r="L108" i="105" s="1"/>
  <c r="K107" i="105"/>
  <c r="L107" i="105" s="1"/>
  <c r="K133" i="87"/>
  <c r="L133" i="87" s="1"/>
  <c r="K132" i="87"/>
  <c r="L132" i="87" s="1"/>
  <c r="K61" i="106" l="1"/>
  <c r="L61" i="106" s="1"/>
  <c r="O212" i="94"/>
  <c r="P212" i="94" s="1"/>
  <c r="O209" i="94"/>
  <c r="P209" i="94" s="1"/>
  <c r="O207" i="94"/>
  <c r="P207" i="94" s="1"/>
  <c r="O208" i="94" l="1"/>
  <c r="P208" i="94" s="1"/>
  <c r="O215" i="94" l="1"/>
  <c r="P215" i="94" s="1"/>
  <c r="O216" i="94"/>
  <c r="P216" i="94" s="1"/>
  <c r="O214" i="94"/>
  <c r="P214" i="94" s="1"/>
  <c r="O204" i="94"/>
  <c r="P204" i="94" s="1"/>
  <c r="O202" i="94"/>
  <c r="P202" i="94" s="1"/>
  <c r="O199" i="94"/>
  <c r="P199" i="94" s="1"/>
  <c r="O200" i="94"/>
  <c r="P200" i="94" s="1"/>
  <c r="O203" i="94" l="1"/>
  <c r="P203" i="94" s="1"/>
  <c r="O213" i="94"/>
  <c r="P213" i="94" s="1"/>
  <c r="O188" i="94" l="1"/>
  <c r="P188" i="94" s="1"/>
  <c r="O196" i="94" l="1"/>
  <c r="P196" i="94" s="1"/>
  <c r="O197" i="94"/>
  <c r="P197" i="94" s="1"/>
  <c r="O198" i="94"/>
  <c r="P198" i="94" s="1"/>
  <c r="O195" i="94"/>
  <c r="P195" i="94" s="1"/>
  <c r="O191" i="94" l="1"/>
  <c r="P191" i="94" s="1"/>
  <c r="O193" i="94" l="1"/>
  <c r="P193" i="94" s="1"/>
  <c r="O194" i="94"/>
  <c r="P194" i="94" s="1"/>
  <c r="O192" i="94"/>
  <c r="P192" i="94" s="1"/>
  <c r="O111" i="94" l="1"/>
  <c r="P111" i="94" s="1"/>
  <c r="O60" i="94"/>
  <c r="P60" i="94" s="1"/>
  <c r="O59" i="94"/>
  <c r="P59" i="94" s="1"/>
  <c r="O57" i="94"/>
  <c r="P57" i="94" s="1"/>
  <c r="O56" i="94"/>
  <c r="P56" i="94" s="1"/>
  <c r="O55" i="94"/>
  <c r="P55" i="94" s="1"/>
  <c r="O54" i="94"/>
  <c r="P54" i="94" s="1"/>
  <c r="O53" i="94"/>
  <c r="P53" i="94" s="1"/>
  <c r="O52" i="94"/>
  <c r="P52" i="94" s="1"/>
  <c r="O51" i="94"/>
  <c r="P51" i="94" s="1"/>
  <c r="O50" i="94"/>
  <c r="P50" i="94" s="1"/>
  <c r="O49" i="94"/>
  <c r="P49" i="94" s="1"/>
  <c r="O48" i="94"/>
  <c r="P48" i="94" s="1"/>
  <c r="O45" i="94"/>
  <c r="P45" i="94" s="1"/>
  <c r="O35" i="94"/>
  <c r="P35" i="94" s="1"/>
  <c r="O25" i="94"/>
  <c r="P25" i="94" s="1"/>
  <c r="O24" i="94"/>
  <c r="P24" i="94" s="1"/>
  <c r="O19" i="94"/>
  <c r="P19" i="94" s="1"/>
  <c r="O18" i="94"/>
  <c r="P18" i="94" s="1"/>
  <c r="O17" i="94"/>
  <c r="P17" i="94" s="1"/>
  <c r="O16" i="94"/>
  <c r="P16" i="94" s="1"/>
  <c r="O14" i="94" l="1"/>
  <c r="P14" i="94" s="1"/>
  <c r="O12" i="94"/>
  <c r="P12" i="94" s="1"/>
  <c r="O11" i="94"/>
  <c r="P11" i="94" s="1"/>
  <c r="O9" i="94"/>
  <c r="P9" i="94" s="1"/>
  <c r="O8" i="94"/>
  <c r="P8" i="94" s="1"/>
  <c r="O7" i="94"/>
  <c r="P7" i="94" s="1"/>
  <c r="O6" i="94"/>
  <c r="P6" i="94" s="1"/>
  <c r="X69" i="4"/>
  <c r="DC34" i="4" l="1"/>
  <c r="DC54" i="4" s="1"/>
  <c r="DC58" i="4" s="1"/>
  <c r="AR19" i="4" l="1"/>
  <c r="AB65" i="4"/>
  <c r="AB64" i="4"/>
  <c r="AA34" i="4"/>
  <c r="AA54" i="4" s="1"/>
  <c r="AA58" i="4" s="1"/>
  <c r="V36" i="4"/>
  <c r="V32" i="4"/>
  <c r="V31" i="4"/>
  <c r="DR30" i="4" l="1"/>
  <c r="DR54" i="4" s="1"/>
  <c r="DR58" i="4" s="1"/>
  <c r="EC62" i="4"/>
  <c r="EC61" i="4"/>
  <c r="CX35" i="4"/>
  <c r="CX54" i="4" s="1"/>
  <c r="CX58" i="4" s="1"/>
  <c r="CR35" i="4"/>
  <c r="CR54" i="4" s="1"/>
  <c r="CR58" i="4" s="1"/>
  <c r="CO62" i="4"/>
  <c r="CO61" i="4"/>
  <c r="BZ62" i="4"/>
  <c r="BZ61" i="4"/>
  <c r="BT62" i="4"/>
  <c r="BT61" i="4"/>
  <c r="BN62" i="4"/>
  <c r="BN61" i="4"/>
  <c r="BB62" i="4"/>
  <c r="BB61" i="4"/>
  <c r="CK47" i="4"/>
  <c r="AD61" i="4"/>
  <c r="DA62" i="4" l="1"/>
  <c r="CU62" i="4"/>
  <c r="CU61" i="4"/>
  <c r="CK67" i="4"/>
  <c r="BH62" i="4"/>
  <c r="BH61" i="4"/>
  <c r="BG45" i="4" l="1"/>
  <c r="S12" i="4"/>
  <c r="S11" i="4"/>
  <c r="S10" i="4"/>
  <c r="S9" i="4"/>
  <c r="S8" i="4"/>
  <c r="U12" i="4"/>
  <c r="U11" i="4"/>
  <c r="U10" i="4"/>
  <c r="U9" i="4"/>
  <c r="U8" i="4"/>
  <c r="BM12" i="4"/>
  <c r="BM11" i="4"/>
  <c r="BM10" i="4"/>
  <c r="BM9" i="4"/>
  <c r="BM8" i="4"/>
  <c r="AR15" i="4"/>
  <c r="AR12" i="4"/>
  <c r="AR11" i="4"/>
  <c r="AR10" i="4"/>
  <c r="AR9" i="4"/>
  <c r="AR8" i="4"/>
  <c r="AL12" i="4"/>
  <c r="AL11" i="4"/>
  <c r="AL10" i="4"/>
  <c r="AL9" i="4"/>
  <c r="AL8" i="4"/>
  <c r="AG12" i="4"/>
  <c r="AG11" i="4"/>
  <c r="AG10" i="4"/>
  <c r="AG9" i="4"/>
  <c r="AG8" i="4"/>
  <c r="AF15" i="4"/>
  <c r="AF14" i="4"/>
  <c r="AF13" i="4"/>
  <c r="AF12" i="4"/>
  <c r="AF11" i="4"/>
  <c r="AF10" i="4"/>
  <c r="AF9" i="4"/>
  <c r="AF8" i="4"/>
  <c r="AC12" i="4"/>
  <c r="AC11" i="4"/>
  <c r="AC10" i="4"/>
  <c r="AC9" i="4"/>
  <c r="AC8" i="4"/>
  <c r="AB15" i="4"/>
  <c r="AB12" i="4"/>
  <c r="AB11" i="4"/>
  <c r="AB10" i="4"/>
  <c r="AB8" i="4"/>
  <c r="Y12" i="4"/>
  <c r="Y11" i="4"/>
  <c r="Y10" i="4"/>
  <c r="Y9" i="4"/>
  <c r="Y8" i="4"/>
  <c r="X15" i="4"/>
  <c r="X14" i="4"/>
  <c r="X12" i="4"/>
  <c r="X11" i="4"/>
  <c r="X10" i="4"/>
  <c r="X9" i="4"/>
  <c r="X8" i="4"/>
  <c r="W15" i="4"/>
  <c r="W12" i="4"/>
  <c r="W11" i="4"/>
  <c r="W10" i="4"/>
  <c r="W9" i="4"/>
  <c r="W8" i="4"/>
  <c r="R15" i="4"/>
  <c r="R12" i="4"/>
  <c r="R11" i="4"/>
  <c r="R10" i="4"/>
  <c r="R9" i="4"/>
  <c r="R8" i="4"/>
  <c r="R42" i="4"/>
  <c r="R28" i="4"/>
  <c r="CM41" i="4"/>
  <c r="V28" i="4"/>
  <c r="V27" i="4"/>
  <c r="V26" i="4"/>
  <c r="V22" i="4"/>
  <c r="V21" i="4"/>
  <c r="V20" i="4"/>
  <c r="Y36" i="4"/>
  <c r="Y34" i="4"/>
  <c r="Y28" i="4"/>
  <c r="Y21" i="4"/>
  <c r="Y19" i="4"/>
  <c r="BN28" i="4"/>
  <c r="BN22" i="4"/>
  <c r="CK22" i="4"/>
  <c r="CK54" i="4" s="1"/>
  <c r="CK58" i="4" s="1"/>
  <c r="CL22" i="4"/>
  <c r="CL54" i="4" s="1"/>
  <c r="CL58" i="4" s="1"/>
  <c r="EA34" i="4"/>
  <c r="DZ34" i="4"/>
  <c r="EA25" i="4"/>
  <c r="EA54" i="4" s="1"/>
  <c r="EA58" i="4" s="1"/>
  <c r="DZ25" i="4"/>
  <c r="DZ54" i="4" s="1"/>
  <c r="DZ58" i="4" s="1"/>
  <c r="DQ22" i="4"/>
  <c r="DQ54" i="4" s="1"/>
  <c r="DQ58" i="4" s="1"/>
  <c r="DM61" i="4"/>
  <c r="V54" i="4" l="1"/>
  <c r="V58" i="4" s="1"/>
  <c r="D62" i="13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L104" i="73" l="1"/>
  <c r="M104" i="73" s="1"/>
  <c r="L118" i="73"/>
  <c r="M118" i="7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I76" i="4"/>
  <c r="EI68" i="4"/>
  <c r="EJ69" i="4"/>
  <c r="EI69" i="4" s="1"/>
  <c r="EH73" i="4"/>
  <c r="EJ8" i="4"/>
  <c r="EI8" i="4" s="1"/>
  <c r="EJ9" i="4"/>
  <c r="EI9" i="4" s="1"/>
  <c r="EJ10" i="4"/>
  <c r="EI10" i="4" s="1"/>
  <c r="EJ11" i="4"/>
  <c r="EI11" i="4" s="1"/>
  <c r="EJ12" i="4"/>
  <c r="EI12" i="4" s="1"/>
  <c r="EJ13" i="4"/>
  <c r="EJ14" i="4"/>
  <c r="EI14" i="4" s="1"/>
  <c r="EJ15" i="4"/>
  <c r="EI15" i="4" s="1"/>
  <c r="EJ17" i="4"/>
  <c r="EI17" i="4" s="1"/>
  <c r="EJ18" i="4"/>
  <c r="EI18" i="4" s="1"/>
  <c r="EJ19" i="4"/>
  <c r="EJ24" i="4"/>
  <c r="EJ25" i="4"/>
  <c r="EJ29" i="4"/>
  <c r="EJ33" i="4"/>
  <c r="EJ39" i="4"/>
  <c r="EJ40" i="4"/>
  <c r="EJ41" i="4"/>
  <c r="EJ44" i="4"/>
  <c r="EJ49" i="4"/>
  <c r="EJ50" i="4"/>
  <c r="EJ51" i="4"/>
  <c r="EJ60" i="4"/>
  <c r="EJ61" i="4"/>
  <c r="EJ62" i="4"/>
  <c r="EJ63" i="4"/>
  <c r="EJ64" i="4"/>
  <c r="EJ65" i="4"/>
  <c r="EJ66" i="4"/>
  <c r="EJ67" i="4"/>
  <c r="EJ70" i="4"/>
  <c r="EJ71" i="4"/>
  <c r="EI71" i="4" s="1"/>
  <c r="EJ75" i="4"/>
  <c r="C11" i="75" l="1"/>
  <c r="EJ16" i="4"/>
  <c r="EJ72" i="4"/>
  <c r="V18" i="134" l="1"/>
  <c r="V19" i="134" s="1"/>
  <c r="Z75" i="4" l="1"/>
  <c r="Z72" i="4"/>
  <c r="Z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L5" i="134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K135" i="87" l="1"/>
  <c r="L135" i="87" s="1"/>
  <c r="K55" i="106"/>
  <c r="L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J45" i="4" l="1"/>
  <c r="EI45" i="4" s="1"/>
  <c r="EJ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CX72" i="4"/>
  <c r="CY72" i="4"/>
  <c r="CX75" i="4"/>
  <c r="CY75" i="4"/>
  <c r="CU75" i="4"/>
  <c r="CV75" i="4"/>
  <c r="CV72" i="4"/>
  <c r="EJ23" i="4"/>
  <c r="EJ46" i="4"/>
  <c r="EJ42" i="4"/>
  <c r="EJ37" i="4"/>
  <c r="EJ36" i="4"/>
  <c r="EJ32" i="4"/>
  <c r="EJ31" i="4"/>
  <c r="EJ27" i="4"/>
  <c r="EJ26" i="4"/>
  <c r="EJ20" i="4"/>
  <c r="EJ28" i="4" l="1"/>
  <c r="EJ47" i="4"/>
  <c r="EJ22" i="4"/>
  <c r="EJ21" i="4"/>
  <c r="B6" i="135" l="1"/>
  <c r="B12" i="135"/>
  <c r="B8" i="135"/>
  <c r="H6" i="135"/>
  <c r="D58" i="135"/>
  <c r="L10" i="73" l="1"/>
  <c r="M10" i="73" s="1"/>
  <c r="L70" i="73"/>
  <c r="M70" i="73" s="1"/>
  <c r="L97" i="73"/>
  <c r="M97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L27" i="73" l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M27" i="73" l="1"/>
  <c r="D26" i="13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L255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R33" i="94" l="1"/>
  <c r="Q75" i="4"/>
  <c r="Q16" i="4"/>
  <c r="O33" i="94" l="1"/>
  <c r="P33" i="94" s="1"/>
  <c r="Q72" i="4"/>
  <c r="V33" i="94" s="1"/>
  <c r="W33" i="94" l="1"/>
  <c r="W326" i="94"/>
  <c r="D231" i="131"/>
  <c r="D230" i="131"/>
  <c r="D227" i="131"/>
  <c r="D226" i="131"/>
  <c r="D225" i="131"/>
  <c r="I169" i="131"/>
  <c r="H169" i="131"/>
  <c r="G169" i="131"/>
  <c r="F169" i="131"/>
  <c r="E169" i="131"/>
  <c r="Q77" i="4" l="1"/>
  <c r="L63" i="73" l="1"/>
  <c r="M63" i="73" s="1"/>
  <c r="D51" i="131" l="1"/>
  <c r="L20" i="73"/>
  <c r="M20" i="73" l="1"/>
  <c r="D19" i="131"/>
  <c r="F109" i="131"/>
  <c r="G109" i="131" s="1"/>
  <c r="H109" i="131" s="1"/>
  <c r="D131" i="131"/>
  <c r="D130" i="131"/>
  <c r="W38" i="1" l="1"/>
  <c r="W39" i="1" s="1"/>
  <c r="L96" i="73"/>
  <c r="M96" i="73" s="1"/>
  <c r="D81" i="131" l="1"/>
  <c r="L119" i="73"/>
  <c r="M119" i="73" s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O156" i="94" l="1"/>
  <c r="P156" i="94" s="1"/>
  <c r="V116" i="94" l="1"/>
  <c r="R116" i="94"/>
  <c r="O116" i="94" l="1"/>
  <c r="P116" i="94" s="1"/>
  <c r="W116" i="94" l="1"/>
  <c r="K91" i="111"/>
  <c r="L91" i="111"/>
  <c r="K92" i="111"/>
  <c r="L92" i="111"/>
  <c r="L93" i="111" l="1"/>
  <c r="K93" i="111"/>
  <c r="K103" i="72" l="1"/>
  <c r="L103" i="72" s="1"/>
  <c r="B34" i="106" l="1"/>
  <c r="K35" i="106" l="1"/>
  <c r="L35" i="106" s="1"/>
  <c r="L32" i="123"/>
  <c r="L35" i="123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N90" i="87"/>
  <c r="K212" i="87"/>
  <c r="K202" i="87"/>
  <c r="K197" i="87"/>
  <c r="K194" i="87"/>
  <c r="K191" i="87"/>
  <c r="K188" i="87"/>
  <c r="L188" i="87" s="1"/>
  <c r="K180" i="87"/>
  <c r="L180" i="87" s="1"/>
  <c r="K177" i="87"/>
  <c r="K164" i="87"/>
  <c r="L164" i="87" s="1"/>
  <c r="K159" i="87"/>
  <c r="K155" i="87"/>
  <c r="L155" i="87" s="1"/>
  <c r="K120" i="87"/>
  <c r="L120" i="87" s="1"/>
  <c r="K114" i="87"/>
  <c r="L114" i="87" s="1"/>
  <c r="K110" i="87"/>
  <c r="L110" i="87" s="1"/>
  <c r="K107" i="87"/>
  <c r="L107" i="87" s="1"/>
  <c r="K101" i="87"/>
  <c r="L101" i="87" s="1"/>
  <c r="K96" i="87"/>
  <c r="L96" i="87" s="1"/>
  <c r="K77" i="87"/>
  <c r="L77" i="87" s="1"/>
  <c r="K62" i="87"/>
  <c r="L62" i="87" s="1"/>
  <c r="K58" i="87"/>
  <c r="L58" i="87" s="1"/>
  <c r="K33" i="87"/>
  <c r="L33" i="87" s="1"/>
  <c r="K29" i="87"/>
  <c r="L29" i="87" s="1"/>
  <c r="K23" i="87"/>
  <c r="L23" i="87" s="1"/>
  <c r="K14" i="87"/>
  <c r="L14" i="87" s="1"/>
  <c r="N25" i="106"/>
  <c r="K41" i="106"/>
  <c r="K38" i="106"/>
  <c r="K32" i="106"/>
  <c r="L32" i="106" s="1"/>
  <c r="K29" i="106"/>
  <c r="L29" i="106" s="1"/>
  <c r="K26" i="106"/>
  <c r="L26" i="106" s="1"/>
  <c r="K20" i="106"/>
  <c r="L20" i="106" s="1"/>
  <c r="L23" i="123"/>
  <c r="L20" i="123"/>
  <c r="L14" i="123"/>
  <c r="K11" i="123"/>
  <c r="L11" i="123" s="1"/>
  <c r="K8" i="123"/>
  <c r="L8" i="123" s="1"/>
  <c r="N22" i="104"/>
  <c r="N69" i="104"/>
  <c r="N73" i="104"/>
  <c r="O160" i="94"/>
  <c r="P160" i="94" s="1"/>
  <c r="O98" i="94"/>
  <c r="P98" i="94" s="1"/>
  <c r="O78" i="94"/>
  <c r="P78" i="94" s="1"/>
  <c r="O73" i="94"/>
  <c r="P73" i="94" s="1"/>
  <c r="O70" i="94"/>
  <c r="P70" i="94" s="1"/>
  <c r="I136" i="111" l="1"/>
  <c r="I137" i="111"/>
  <c r="O123" i="111"/>
  <c r="O125" i="111" s="1"/>
  <c r="O140" i="111"/>
  <c r="O141" i="111" s="1"/>
  <c r="L137" i="111"/>
  <c r="J137" i="111"/>
  <c r="J136" i="111"/>
  <c r="K137" i="111"/>
  <c r="I121" i="111"/>
  <c r="I120" i="111"/>
  <c r="J120" i="111"/>
  <c r="J121" i="111"/>
  <c r="K120" i="111"/>
  <c r="K121" i="111"/>
  <c r="L120" i="111"/>
  <c r="L121" i="111"/>
  <c r="M121" i="111"/>
  <c r="M120" i="111"/>
  <c r="N41" i="106"/>
  <c r="N41" i="125"/>
  <c r="O119" i="111"/>
  <c r="O137" i="111" l="1"/>
  <c r="O121" i="111"/>
  <c r="K10" i="127"/>
  <c r="L10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E10" i="4"/>
  <c r="Q5" i="130"/>
  <c r="DV10" i="130" l="1"/>
  <c r="W5" i="130"/>
  <c r="DX56" i="130" l="1"/>
  <c r="M25" i="130" l="1"/>
  <c r="M24" i="130"/>
  <c r="CA23" i="130" l="1"/>
  <c r="M23" i="130"/>
  <c r="DY63" i="4"/>
  <c r="DY62" i="4"/>
  <c r="DY61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K162" i="105"/>
  <c r="K158" i="105"/>
  <c r="L158" i="105" s="1"/>
  <c r="K154" i="105"/>
  <c r="K151" i="105"/>
  <c r="K148" i="105"/>
  <c r="K144" i="105"/>
  <c r="K141" i="105"/>
  <c r="K137" i="105"/>
  <c r="K134" i="105"/>
  <c r="K131" i="105"/>
  <c r="K127" i="105"/>
  <c r="K119" i="105"/>
  <c r="K116" i="105"/>
  <c r="K113" i="105"/>
  <c r="L113" i="105" s="1"/>
  <c r="K106" i="105"/>
  <c r="K103" i="105"/>
  <c r="K100" i="105"/>
  <c r="K97" i="105"/>
  <c r="K93" i="105"/>
  <c r="K90" i="105"/>
  <c r="K87" i="105"/>
  <c r="K84" i="105"/>
  <c r="K79" i="105"/>
  <c r="K72" i="105"/>
  <c r="K68" i="105"/>
  <c r="L68" i="105" s="1"/>
  <c r="K63" i="105"/>
  <c r="K54" i="105"/>
  <c r="K51" i="105"/>
  <c r="L51" i="105" s="1"/>
  <c r="K37" i="105"/>
  <c r="K24" i="105"/>
  <c r="K7" i="105"/>
  <c r="O324" i="94"/>
  <c r="P324" i="94" s="1"/>
  <c r="O319" i="94"/>
  <c r="P319" i="94" s="1"/>
  <c r="O314" i="94"/>
  <c r="P314" i="94" s="1"/>
  <c r="O310" i="94"/>
  <c r="P310" i="94" s="1"/>
  <c r="O306" i="94"/>
  <c r="P306" i="94" s="1"/>
  <c r="O302" i="94"/>
  <c r="P302" i="94" s="1"/>
  <c r="O293" i="94"/>
  <c r="P293" i="94" s="1"/>
  <c r="O290" i="94"/>
  <c r="P290" i="94" s="1"/>
  <c r="O287" i="94"/>
  <c r="P287" i="94" s="1"/>
  <c r="K178" i="72"/>
  <c r="L178" i="72" s="1"/>
  <c r="K174" i="72"/>
  <c r="L174" i="72" s="1"/>
  <c r="K161" i="72"/>
  <c r="L161" i="72" s="1"/>
  <c r="K108" i="72"/>
  <c r="L108" i="72" s="1"/>
  <c r="K76" i="72"/>
  <c r="L76" i="72" s="1"/>
  <c r="K73" i="72"/>
  <c r="L73" i="72" s="1"/>
  <c r="K58" i="72"/>
  <c r="L58" i="72" s="1"/>
  <c r="K40" i="72"/>
  <c r="L40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X22" i="4" l="1"/>
  <c r="EI22" i="4" s="1"/>
  <c r="BJ44" i="4"/>
  <c r="BJ30" i="4"/>
  <c r="BJ25" i="4"/>
  <c r="BJ24" i="4"/>
  <c r="BJ23" i="4"/>
  <c r="L41" i="73"/>
  <c r="M41" i="73" s="1"/>
  <c r="L95" i="73"/>
  <c r="M95" i="73" s="1"/>
  <c r="L64" i="73"/>
  <c r="M64" i="73" s="1"/>
  <c r="L49" i="73"/>
  <c r="M49" i="73" s="1"/>
  <c r="L33" i="73"/>
  <c r="M33" i="73" s="1"/>
  <c r="L32" i="73"/>
  <c r="M32" i="73" s="1"/>
  <c r="R140" i="94"/>
  <c r="BL75" i="4"/>
  <c r="BK75" i="4"/>
  <c r="BJ74" i="4"/>
  <c r="BJ75" i="4" s="1"/>
  <c r="BJ73" i="4"/>
  <c r="BL72" i="4"/>
  <c r="BJ70" i="4"/>
  <c r="BJ69" i="4"/>
  <c r="BJ67" i="4"/>
  <c r="BJ66" i="4"/>
  <c r="BJ65" i="4"/>
  <c r="BJ64" i="4"/>
  <c r="BJ63" i="4"/>
  <c r="BJ62" i="4"/>
  <c r="BJ60" i="4"/>
  <c r="BJ57" i="4"/>
  <c r="BJ55" i="4"/>
  <c r="BJ51" i="4"/>
  <c r="BJ50" i="4"/>
  <c r="BJ49" i="4"/>
  <c r="BJ47" i="4"/>
  <c r="BJ46" i="4"/>
  <c r="BJ45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29" i="4"/>
  <c r="BJ28" i="4"/>
  <c r="BJ27" i="4"/>
  <c r="BJ26" i="4"/>
  <c r="BJ22" i="4"/>
  <c r="BJ21" i="4"/>
  <c r="BJ20" i="4"/>
  <c r="BJ19" i="4"/>
  <c r="BJ18" i="4"/>
  <c r="BJ17" i="4"/>
  <c r="BL16" i="4"/>
  <c r="BK16" i="4"/>
  <c r="G91" i="111"/>
  <c r="G92" i="111"/>
  <c r="F91" i="111"/>
  <c r="F92" i="111"/>
  <c r="BJ54" i="4" l="1"/>
  <c r="BJ58" i="4" s="1"/>
  <c r="D36" i="13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L77" i="4"/>
  <c r="G93" i="111"/>
  <c r="BJ16" i="4"/>
  <c r="E91" i="111"/>
  <c r="E92" i="111"/>
  <c r="L69" i="73"/>
  <c r="M69" i="73" s="1"/>
  <c r="O75" i="4"/>
  <c r="O72" i="4"/>
  <c r="N16" i="4"/>
  <c r="O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J71" i="4"/>
  <c r="D93" i="111"/>
  <c r="O77" i="4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L22" i="73"/>
  <c r="Q37" i="85"/>
  <c r="Q38" i="85"/>
  <c r="Q29" i="85"/>
  <c r="Q16" i="85"/>
  <c r="L47" i="73"/>
  <c r="M47" i="73" s="1"/>
  <c r="L129" i="73"/>
  <c r="M129" i="73" s="1"/>
  <c r="L128" i="73"/>
  <c r="M128" i="73" s="1"/>
  <c r="L127" i="73"/>
  <c r="M127" i="73" s="1"/>
  <c r="L126" i="73"/>
  <c r="M126" i="73" s="1"/>
  <c r="L125" i="73"/>
  <c r="M125" i="73" s="1"/>
  <c r="L117" i="73"/>
  <c r="M117" i="73" s="1"/>
  <c r="L116" i="73"/>
  <c r="M116" i="73" s="1"/>
  <c r="L115" i="73"/>
  <c r="M115" i="73" s="1"/>
  <c r="L110" i="73"/>
  <c r="M110" i="73" s="1"/>
  <c r="L109" i="73"/>
  <c r="M109" i="73" s="1"/>
  <c r="L102" i="73"/>
  <c r="M102" i="73" s="1"/>
  <c r="L89" i="73"/>
  <c r="M89" i="73" s="1"/>
  <c r="L86" i="73"/>
  <c r="M86" i="73" s="1"/>
  <c r="L85" i="73"/>
  <c r="M85" i="73" s="1"/>
  <c r="L84" i="73"/>
  <c r="M84" i="73" s="1"/>
  <c r="L83" i="73"/>
  <c r="M83" i="73" s="1"/>
  <c r="L81" i="73"/>
  <c r="M81" i="73" s="1"/>
  <c r="L80" i="73"/>
  <c r="M80" i="73" s="1"/>
  <c r="L78" i="73"/>
  <c r="M78" i="73" s="1"/>
  <c r="L77" i="73"/>
  <c r="M77" i="73" s="1"/>
  <c r="L76" i="73"/>
  <c r="M76" i="73" s="1"/>
  <c r="L75" i="73"/>
  <c r="M75" i="73" s="1"/>
  <c r="L73" i="73"/>
  <c r="M73" i="73" s="1"/>
  <c r="L72" i="73"/>
  <c r="M72" i="73" s="1"/>
  <c r="L71" i="73"/>
  <c r="M71" i="73" s="1"/>
  <c r="L68" i="73"/>
  <c r="M68" i="73" s="1"/>
  <c r="L67" i="73"/>
  <c r="M67" i="73" s="1"/>
  <c r="L66" i="73"/>
  <c r="M66" i="73" s="1"/>
  <c r="L65" i="73"/>
  <c r="M65" i="73" s="1"/>
  <c r="L62" i="73"/>
  <c r="L59" i="73"/>
  <c r="M59" i="73" s="1"/>
  <c r="L57" i="73"/>
  <c r="M57" i="73" s="1"/>
  <c r="L54" i="73"/>
  <c r="M54" i="73" s="1"/>
  <c r="L50" i="73"/>
  <c r="M50" i="73" s="1"/>
  <c r="L48" i="73"/>
  <c r="M48" i="73" s="1"/>
  <c r="L43" i="73"/>
  <c r="M43" i="73" s="1"/>
  <c r="L42" i="73"/>
  <c r="M42" i="73" s="1"/>
  <c r="L40" i="73"/>
  <c r="M40" i="73" s="1"/>
  <c r="L37" i="73"/>
  <c r="M37" i="73" s="1"/>
  <c r="L36" i="73"/>
  <c r="M36" i="73" s="1"/>
  <c r="L31" i="73"/>
  <c r="M31" i="73" s="1"/>
  <c r="L21" i="73"/>
  <c r="L19" i="73"/>
  <c r="L18" i="73"/>
  <c r="L16" i="73"/>
  <c r="L14" i="73"/>
  <c r="L233" i="73"/>
  <c r="L34" i="73"/>
  <c r="M34" i="73" s="1"/>
  <c r="N37" i="1"/>
  <c r="S38" i="1"/>
  <c r="S39" i="1" s="1"/>
  <c r="T38" i="1"/>
  <c r="T39" i="1" s="1"/>
  <c r="U38" i="1"/>
  <c r="U39" i="1" s="1"/>
  <c r="V38" i="1"/>
  <c r="V39" i="1" s="1"/>
  <c r="Q39" i="1"/>
  <c r="R39" i="1"/>
  <c r="Q46" i="1"/>
  <c r="R46" i="1"/>
  <c r="S46" i="1"/>
  <c r="T46" i="1"/>
  <c r="U46" i="1"/>
  <c r="V46" i="1"/>
  <c r="W46" i="1"/>
  <c r="G40" i="131" s="1"/>
  <c r="X46" i="1"/>
  <c r="H40" i="131" s="1"/>
  <c r="Y46" i="1"/>
  <c r="I40" i="131" s="1"/>
  <c r="Z46" i="1"/>
  <c r="M40" i="72"/>
  <c r="N40" i="72" s="1"/>
  <c r="M62" i="87"/>
  <c r="N62" i="87" s="1"/>
  <c r="M20" i="125"/>
  <c r="N20" i="125" s="1"/>
  <c r="M20" i="123"/>
  <c r="N20" i="123" s="1"/>
  <c r="M14" i="73" l="1"/>
  <c r="M16" i="73"/>
  <c r="M19" i="73"/>
  <c r="M21" i="73"/>
  <c r="M18" i="73"/>
  <c r="M22" i="73"/>
  <c r="D49" i="13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E40" i="131"/>
  <c r="L53" i="73"/>
  <c r="M53" i="73" s="1"/>
  <c r="L46" i="73"/>
  <c r="M46" i="73" s="1"/>
  <c r="L35" i="73"/>
  <c r="M35" i="73" s="1"/>
  <c r="L124" i="73"/>
  <c r="M124" i="73" s="1"/>
  <c r="L15" i="73"/>
  <c r="R15" i="85"/>
  <c r="D5" i="85"/>
  <c r="L13" i="73"/>
  <c r="L12" i="73"/>
  <c r="M12" i="73" s="1"/>
  <c r="L9" i="73"/>
  <c r="M9" i="73" s="1"/>
  <c r="L8" i="73"/>
  <c r="M8" i="73" s="1"/>
  <c r="R36" i="94"/>
  <c r="AD75" i="4"/>
  <c r="AD16" i="4"/>
  <c r="M13" i="73" l="1"/>
  <c r="M15" i="73"/>
  <c r="E79" i="131"/>
  <c r="E197" i="13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L94" i="73"/>
  <c r="M94" i="73" s="1"/>
  <c r="E33" i="131"/>
  <c r="L44" i="73"/>
  <c r="M44" i="73" s="1"/>
  <c r="E14" i="131"/>
  <c r="L7" i="73"/>
  <c r="M7" i="73" s="1"/>
  <c r="E210" i="131" l="1"/>
  <c r="D210" i="131"/>
  <c r="D7" i="131"/>
  <c r="D6" i="131" s="1"/>
  <c r="D208" i="131" s="1"/>
  <c r="D39" i="131"/>
  <c r="E39" i="131" s="1"/>
  <c r="F39" i="131" s="1"/>
  <c r="G39" i="131" s="1"/>
  <c r="H39" i="131" s="1"/>
  <c r="I39" i="131" s="1"/>
  <c r="I27" i="131" s="1"/>
  <c r="I209" i="131" s="1"/>
  <c r="F197" i="131"/>
  <c r="F210" i="131"/>
  <c r="H93" i="131"/>
  <c r="G79" i="131"/>
  <c r="F14" i="131"/>
  <c r="L241" i="73"/>
  <c r="L30" i="73"/>
  <c r="L6" i="73"/>
  <c r="M6" i="73" s="1"/>
  <c r="M30" i="73" l="1"/>
  <c r="D27" i="131"/>
  <c r="D209" i="131" s="1"/>
  <c r="H27" i="131"/>
  <c r="H209" i="131" s="1"/>
  <c r="E7" i="131"/>
  <c r="F7" i="131" s="1"/>
  <c r="G7" i="131" s="1"/>
  <c r="H7" i="131" s="1"/>
  <c r="I7" i="131" s="1"/>
  <c r="F27" i="131"/>
  <c r="F209" i="131" s="1"/>
  <c r="E27" i="131"/>
  <c r="E209" i="131" s="1"/>
  <c r="G27" i="131"/>
  <c r="G209" i="131" s="1"/>
  <c r="L217" i="73"/>
  <c r="L239" i="73"/>
  <c r="D207" i="131"/>
  <c r="I93" i="131"/>
  <c r="I79" i="131" s="1"/>
  <c r="H79" i="131"/>
  <c r="G210" i="131"/>
  <c r="G197" i="131"/>
  <c r="G14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D113" i="131" l="1"/>
  <c r="D114" i="131" s="1"/>
  <c r="D190" i="131"/>
  <c r="E6" i="131"/>
  <c r="E208" i="131" s="1"/>
  <c r="F6" i="131"/>
  <c r="F190" i="131" s="1"/>
  <c r="E207" i="131"/>
  <c r="I104" i="11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R111" i="94" l="1"/>
  <c r="M155" i="87" l="1"/>
  <c r="N155" i="87" s="1"/>
  <c r="M117" i="87"/>
  <c r="M29" i="87"/>
  <c r="N29" i="87" s="1"/>
  <c r="M23" i="87"/>
  <c r="N23" i="87" s="1"/>
  <c r="M103" i="72"/>
  <c r="N103" i="72" s="1"/>
  <c r="M58" i="72"/>
  <c r="N58" i="72" s="1"/>
  <c r="M77" i="87"/>
  <c r="N77" i="87" s="1"/>
  <c r="M14" i="87"/>
  <c r="N14" i="87" s="1"/>
  <c r="M212" i="87"/>
  <c r="N212" i="87" s="1"/>
  <c r="M197" i="87"/>
  <c r="N197" i="87" s="1"/>
  <c r="M194" i="87"/>
  <c r="N194" i="87" s="1"/>
  <c r="M191" i="87"/>
  <c r="N191" i="87" s="1"/>
  <c r="M159" i="87"/>
  <c r="N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BF75" i="4" l="1"/>
  <c r="BE75" i="4"/>
  <c r="BD74" i="4"/>
  <c r="BD75" i="4" s="1"/>
  <c r="BD73" i="4"/>
  <c r="BF72" i="4"/>
  <c r="BD71" i="4"/>
  <c r="BD70" i="4"/>
  <c r="BD69" i="4"/>
  <c r="BD67" i="4"/>
  <c r="BD66" i="4"/>
  <c r="BD65" i="4"/>
  <c r="BD64" i="4"/>
  <c r="BD63" i="4"/>
  <c r="BD62" i="4"/>
  <c r="BE72" i="4"/>
  <c r="BD60" i="4"/>
  <c r="BD57" i="4"/>
  <c r="BD55" i="4"/>
  <c r="BD50" i="4"/>
  <c r="BD49" i="4"/>
  <c r="BD47" i="4"/>
  <c r="BD46" i="4"/>
  <c r="BD45" i="4"/>
  <c r="BD44" i="4"/>
  <c r="BD42" i="4"/>
  <c r="BD41" i="4"/>
  <c r="BD40" i="4"/>
  <c r="BD39" i="4"/>
  <c r="BD38" i="4"/>
  <c r="BD37" i="4"/>
  <c r="BD36" i="4"/>
  <c r="BD33" i="4"/>
  <c r="BD32" i="4"/>
  <c r="BD31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F16" i="4"/>
  <c r="BE16" i="4"/>
  <c r="BD16" i="4"/>
  <c r="BC75" i="4"/>
  <c r="BB75" i="4"/>
  <c r="BA74" i="4"/>
  <c r="BA75" i="4" s="1"/>
  <c r="BA73" i="4"/>
  <c r="BC72" i="4"/>
  <c r="BA71" i="4"/>
  <c r="BA70" i="4"/>
  <c r="BA69" i="4"/>
  <c r="BA67" i="4"/>
  <c r="BA66" i="4"/>
  <c r="BA65" i="4"/>
  <c r="BA64" i="4"/>
  <c r="BA63" i="4"/>
  <c r="BA60" i="4"/>
  <c r="BA57" i="4"/>
  <c r="BA55" i="4"/>
  <c r="BA51" i="4"/>
  <c r="BA50" i="4"/>
  <c r="BA49" i="4"/>
  <c r="BA47" i="4"/>
  <c r="BA46" i="4"/>
  <c r="BA45" i="4"/>
  <c r="BA44" i="4"/>
  <c r="BA42" i="4"/>
  <c r="BA41" i="4"/>
  <c r="BA40" i="4"/>
  <c r="BA39" i="4"/>
  <c r="BA38" i="4"/>
  <c r="BA37" i="4"/>
  <c r="BA36" i="4"/>
  <c r="BA33" i="4"/>
  <c r="BA32" i="4"/>
  <c r="BA31" i="4"/>
  <c r="BA30" i="4"/>
  <c r="M26" i="106" s="1"/>
  <c r="N26" i="106" s="1"/>
  <c r="BA29" i="4"/>
  <c r="BA28" i="4"/>
  <c r="BA27" i="4"/>
  <c r="BA26" i="4"/>
  <c r="BA24" i="4"/>
  <c r="BA23" i="4"/>
  <c r="BA22" i="4"/>
  <c r="BA21" i="4"/>
  <c r="BA20" i="4"/>
  <c r="BA19" i="4"/>
  <c r="BA18" i="4"/>
  <c r="BA17" i="4"/>
  <c r="BC16" i="4"/>
  <c r="BB16" i="4"/>
  <c r="BA16" i="4"/>
  <c r="BD61" i="4" l="1"/>
  <c r="BD72" i="4" s="1"/>
  <c r="BC77" i="4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T52" i="4" l="1"/>
  <c r="T48" i="4"/>
  <c r="T49" i="4"/>
  <c r="T12" i="4"/>
  <c r="T11" i="4"/>
  <c r="EE11" i="4" s="1"/>
  <c r="T10" i="4"/>
  <c r="T9" i="4"/>
  <c r="EE9" i="4" s="1"/>
  <c r="T8" i="4"/>
  <c r="EE8" i="4" s="1"/>
  <c r="K12" i="4" l="1"/>
  <c r="EE12" i="4"/>
  <c r="K8" i="4"/>
  <c r="D120" i="131" l="1"/>
  <c r="E120" i="131" s="1"/>
  <c r="F120" i="131" s="1"/>
  <c r="G120" i="131" s="1"/>
  <c r="H120" i="131" s="1"/>
  <c r="I120" i="131" s="1"/>
  <c r="EH8" i="4"/>
  <c r="D124" i="131"/>
  <c r="E124" i="131" s="1"/>
  <c r="F124" i="131" s="1"/>
  <c r="G124" i="131" s="1"/>
  <c r="H124" i="131" s="1"/>
  <c r="I124" i="131" s="1"/>
  <c r="EH12" i="4"/>
  <c r="DX8" i="130"/>
  <c r="DX12" i="130"/>
  <c r="EF12" i="4"/>
  <c r="EF8" i="4"/>
  <c r="M10" i="127"/>
  <c r="N10" i="127" s="1"/>
  <c r="M29" i="125" l="1"/>
  <c r="N29" i="125" s="1"/>
  <c r="CJ23" i="4" l="1"/>
  <c r="CJ24" i="4"/>
  <c r="X74" i="4"/>
  <c r="EI74" i="4" s="1"/>
  <c r="X73" i="4"/>
  <c r="EI73" i="4" s="1"/>
  <c r="X70" i="4"/>
  <c r="EI70" i="4" s="1"/>
  <c r="X67" i="4"/>
  <c r="EI67" i="4" s="1"/>
  <c r="X66" i="4"/>
  <c r="EI66" i="4" s="1"/>
  <c r="X65" i="4"/>
  <c r="EI65" i="4" s="1"/>
  <c r="X64" i="4"/>
  <c r="EI64" i="4" s="1"/>
  <c r="X63" i="4"/>
  <c r="EI63" i="4" s="1"/>
  <c r="X62" i="4"/>
  <c r="EI62" i="4" s="1"/>
  <c r="X60" i="4"/>
  <c r="EI60" i="4" s="1"/>
  <c r="X59" i="4"/>
  <c r="X57" i="4"/>
  <c r="EI57" i="4" s="1"/>
  <c r="X55" i="4"/>
  <c r="EI55" i="4" s="1"/>
  <c r="X52" i="4"/>
  <c r="EI52" i="4" s="1"/>
  <c r="X51" i="4"/>
  <c r="EI51" i="4" s="1"/>
  <c r="X50" i="4"/>
  <c r="EI50" i="4" s="1"/>
  <c r="X49" i="4"/>
  <c r="EI49" i="4" s="1"/>
  <c r="X48" i="4"/>
  <c r="EI48" i="4" s="1"/>
  <c r="X47" i="4"/>
  <c r="EI47" i="4" s="1"/>
  <c r="X46" i="4"/>
  <c r="EI46" i="4" s="1"/>
  <c r="X44" i="4"/>
  <c r="EI44" i="4" s="1"/>
  <c r="X42" i="4"/>
  <c r="EI42" i="4" s="1"/>
  <c r="X41" i="4"/>
  <c r="EI41" i="4" s="1"/>
  <c r="X40" i="4"/>
  <c r="EI40" i="4" s="1"/>
  <c r="X39" i="4"/>
  <c r="EI39" i="4" s="1"/>
  <c r="X37" i="4"/>
  <c r="EI37" i="4" s="1"/>
  <c r="X36" i="4"/>
  <c r="EI36" i="4" s="1"/>
  <c r="X33" i="4"/>
  <c r="EI33" i="4" s="1"/>
  <c r="X32" i="4"/>
  <c r="EI32" i="4" s="1"/>
  <c r="X31" i="4"/>
  <c r="EI31" i="4" s="1"/>
  <c r="X30" i="4"/>
  <c r="EI30" i="4" s="1"/>
  <c r="X29" i="4"/>
  <c r="EI29" i="4" s="1"/>
  <c r="X28" i="4"/>
  <c r="EI28" i="4" s="1"/>
  <c r="X27" i="4"/>
  <c r="EI27" i="4" s="1"/>
  <c r="X26" i="4"/>
  <c r="EI26" i="4" s="1"/>
  <c r="X24" i="4"/>
  <c r="EI24" i="4" s="1"/>
  <c r="X23" i="4"/>
  <c r="EI23" i="4" s="1"/>
  <c r="X20" i="4"/>
  <c r="X19" i="4"/>
  <c r="EI19" i="4" s="1"/>
  <c r="DY25" i="4"/>
  <c r="DY34" i="4"/>
  <c r="M202" i="87" s="1"/>
  <c r="N202" i="87" s="1"/>
  <c r="EA75" i="4"/>
  <c r="EA72" i="4"/>
  <c r="EA16" i="4"/>
  <c r="DZ75" i="4"/>
  <c r="DZ72" i="4"/>
  <c r="DZ16" i="4"/>
  <c r="M65" i="125" l="1"/>
  <c r="N65" i="125" s="1"/>
  <c r="DY54" i="4"/>
  <c r="DY58" i="4" s="1"/>
  <c r="EI20" i="4"/>
  <c r="EE59" i="4"/>
  <c r="EI59" i="4"/>
  <c r="DZ77" i="4"/>
  <c r="EA77" i="4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R160" i="94"/>
  <c r="DW75" i="4" l="1"/>
  <c r="V310" i="94"/>
  <c r="W310" i="94" s="1"/>
  <c r="DW16" i="4"/>
  <c r="P17" i="85" l="1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4" i="85"/>
  <c r="Q13" i="85"/>
  <c r="E17" i="85" l="1"/>
  <c r="E27" i="85" s="1"/>
  <c r="E31" i="85" s="1"/>
  <c r="Q15" i="85" l="1"/>
  <c r="Q23" i="85"/>
  <c r="S33" i="111" l="1"/>
  <c r="S32" i="111"/>
  <c r="S31" i="111"/>
  <c r="S30" i="111"/>
  <c r="S29" i="111"/>
  <c r="Q17" i="85" l="1"/>
  <c r="N75" i="4" l="1"/>
  <c r="N72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L91" i="73" l="1"/>
  <c r="M91" i="73" s="1"/>
  <c r="L88" i="73" l="1"/>
  <c r="M88" i="73" s="1"/>
  <c r="L225" i="73" l="1"/>
  <c r="R16" i="85"/>
  <c r="S16" i="85" s="1"/>
  <c r="C6" i="114"/>
  <c r="Q7" i="1" l="1"/>
  <c r="I62" i="75" l="1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35" i="111" l="1"/>
  <c r="Q29" i="111" l="1"/>
  <c r="V7" i="1"/>
  <c r="V14" i="1" s="1"/>
  <c r="X7" i="1"/>
  <c r="X8" i="1"/>
  <c r="X12" i="1"/>
  <c r="X9" i="1"/>
  <c r="X13" i="1"/>
  <c r="Q14" i="1"/>
  <c r="S14" i="1"/>
  <c r="T14" i="1"/>
  <c r="U14" i="1"/>
  <c r="Y14" i="1"/>
  <c r="X14" i="1" l="1"/>
  <c r="X15" i="1" s="1"/>
  <c r="Q34" i="111" l="1"/>
  <c r="Q33" i="111"/>
  <c r="Q32" i="111"/>
  <c r="Q31" i="111"/>
  <c r="Q30" i="111"/>
  <c r="H47" i="111" l="1"/>
  <c r="I47" i="111"/>
  <c r="M65" i="104" l="1"/>
  <c r="N65" i="104" s="1"/>
  <c r="K11" i="4" l="1"/>
  <c r="K10" i="4"/>
  <c r="EH10" i="4" s="1"/>
  <c r="DN19" i="4"/>
  <c r="DN22" i="4"/>
  <c r="D123" i="131" l="1"/>
  <c r="EH11" i="4"/>
  <c r="D122" i="131"/>
  <c r="E122" i="131" s="1"/>
  <c r="F122" i="131" s="1"/>
  <c r="G122" i="131" s="1"/>
  <c r="H122" i="131" s="1"/>
  <c r="I122" i="131" s="1"/>
  <c r="DX10" i="130"/>
  <c r="EF10" i="4"/>
  <c r="DX11" i="130"/>
  <c r="EF11" i="4"/>
  <c r="K16" i="117" l="1"/>
  <c r="CT36" i="4" l="1"/>
  <c r="CT37" i="4"/>
  <c r="CV16" i="4"/>
  <c r="CU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E17" i="117" l="1"/>
  <c r="C17" i="117" s="1"/>
  <c r="C16" i="117"/>
  <c r="O31" i="117" l="1"/>
  <c r="O47" i="117" s="1"/>
  <c r="O143" i="117" s="1"/>
  <c r="CN37" i="4"/>
  <c r="CN38" i="4"/>
  <c r="CN39" i="4"/>
  <c r="CN40" i="4"/>
  <c r="CN41" i="4"/>
  <c r="CN42" i="4"/>
  <c r="CN44" i="4"/>
  <c r="CN45" i="4"/>
  <c r="CN46" i="4"/>
  <c r="CN47" i="4"/>
  <c r="CN48" i="4"/>
  <c r="CN49" i="4"/>
  <c r="CN50" i="4"/>
  <c r="L35" i="117" l="1"/>
  <c r="N31" i="117"/>
  <c r="N47" i="117" s="1"/>
  <c r="N143" i="117" s="1"/>
  <c r="C35" i="117" l="1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W75" i="4"/>
  <c r="O88" i="111" l="1"/>
  <c r="O89" i="111"/>
  <c r="S71" i="111"/>
  <c r="S72" i="111" s="1"/>
  <c r="O73" i="111"/>
  <c r="O72" i="111"/>
  <c r="P72" i="111"/>
  <c r="O104" i="111" l="1"/>
  <c r="S75" i="4"/>
  <c r="S72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U75" i="4"/>
  <c r="DU16" i="4"/>
  <c r="P47" i="111" l="1"/>
  <c r="V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R319" i="94"/>
  <c r="R70" i="94"/>
  <c r="R66" i="94"/>
  <c r="R47" i="94"/>
  <c r="R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M6" i="107"/>
  <c r="N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R310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ED16" i="4" l="1"/>
  <c r="EC16" i="4"/>
  <c r="EB16" i="4"/>
  <c r="DY16" i="4"/>
  <c r="DX16" i="4"/>
  <c r="DV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Y77" i="4" s="1"/>
  <c r="CX16" i="4"/>
  <c r="CW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I16" i="4"/>
  <c r="BH16" i="4"/>
  <c r="BG16" i="4"/>
  <c r="AZ16" i="4"/>
  <c r="AY16" i="4"/>
  <c r="AX16" i="4"/>
  <c r="AW16" i="4"/>
  <c r="AV16" i="4"/>
  <c r="AU16" i="4"/>
  <c r="AT16" i="4"/>
  <c r="AS16" i="4"/>
  <c r="AQ16" i="4"/>
  <c r="AP16" i="4"/>
  <c r="AO16" i="4"/>
  <c r="AN16" i="4"/>
  <c r="AM16" i="4"/>
  <c r="AK16" i="4"/>
  <c r="AJ16" i="4"/>
  <c r="V16" i="4"/>
  <c r="L94" i="75" l="1"/>
  <c r="C94" i="75" s="1"/>
  <c r="C130" i="75" s="1"/>
  <c r="L140" i="73"/>
  <c r="R306" i="94" l="1"/>
  <c r="R302" i="94"/>
  <c r="L43" i="75" l="1"/>
  <c r="C43" i="75" s="1"/>
  <c r="L42" i="75" l="1"/>
  <c r="L46" i="75" l="1"/>
  <c r="C42" i="75"/>
  <c r="C46" i="75" s="1"/>
  <c r="C132" i="75" s="1"/>
  <c r="S54" i="85" l="1"/>
  <c r="DT75" i="4" l="1"/>
  <c r="DS75" i="4"/>
  <c r="DT72" i="4"/>
  <c r="V306" i="94" l="1"/>
  <c r="W306" i="94" s="1"/>
  <c r="DS72" i="4"/>
  <c r="V302" i="94" s="1"/>
  <c r="W302" i="94" s="1"/>
  <c r="DT77" i="4"/>
  <c r="DS77" i="4" l="1"/>
  <c r="R290" i="94" l="1"/>
  <c r="R256" i="94" l="1"/>
  <c r="R135" i="94" l="1"/>
  <c r="M162" i="105" l="1"/>
  <c r="N162" i="105" s="1"/>
  <c r="M154" i="105"/>
  <c r="N154" i="105" s="1"/>
  <c r="M148" i="105"/>
  <c r="N148" i="105" s="1"/>
  <c r="M134" i="105"/>
  <c r="N134" i="105" s="1"/>
  <c r="M131" i="105"/>
  <c r="N131" i="105" s="1"/>
  <c r="M127" i="105"/>
  <c r="N127" i="105" s="1"/>
  <c r="M106" i="105"/>
  <c r="N106" i="105" s="1"/>
  <c r="M100" i="105"/>
  <c r="N100" i="105" s="1"/>
  <c r="M72" i="105"/>
  <c r="N72" i="105" s="1"/>
  <c r="M63" i="105"/>
  <c r="N63" i="105" s="1"/>
  <c r="M37" i="105"/>
  <c r="N37" i="105" s="1"/>
  <c r="M24" i="105"/>
  <c r="N24" i="105" s="1"/>
  <c r="M7" i="105"/>
  <c r="N7" i="105" s="1"/>
  <c r="M42" i="104"/>
  <c r="N42" i="104" s="1"/>
  <c r="M33" i="104"/>
  <c r="N33" i="104" s="1"/>
  <c r="M7" i="104"/>
  <c r="N7" i="104" s="1"/>
  <c r="F82" i="84" l="1"/>
  <c r="G82" i="84" s="1"/>
  <c r="P11" i="91"/>
  <c r="R293" i="94" l="1"/>
  <c r="R98" i="94"/>
  <c r="AX23" i="4" l="1"/>
  <c r="K9" i="4" l="1"/>
  <c r="D121" i="131" l="1"/>
  <c r="E121" i="131" s="1"/>
  <c r="EH9" i="4"/>
  <c r="DX9" i="130"/>
  <c r="EF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M20" i="104"/>
  <c r="N20" i="104" s="1"/>
  <c r="BG61" i="4" l="1"/>
  <c r="M10" i="107" l="1"/>
  <c r="N10" i="107" s="1"/>
  <c r="T69" i="4" l="1"/>
  <c r="AI63" i="4"/>
  <c r="BV34" i="4"/>
  <c r="CC34" i="4"/>
  <c r="AI36" i="4"/>
  <c r="AO36" i="4"/>
  <c r="AU36" i="4"/>
  <c r="AX36" i="4"/>
  <c r="BG36" i="4"/>
  <c r="BM36" i="4"/>
  <c r="BP36" i="4"/>
  <c r="BS36" i="4"/>
  <c r="BV36" i="4"/>
  <c r="BY36" i="4"/>
  <c r="CC36" i="4"/>
  <c r="CG36" i="4"/>
  <c r="AI37" i="4"/>
  <c r="AL37" i="4"/>
  <c r="AO37" i="4"/>
  <c r="AU37" i="4"/>
  <c r="AX37" i="4"/>
  <c r="BG37" i="4"/>
  <c r="BM37" i="4"/>
  <c r="BP37" i="4"/>
  <c r="BS37" i="4"/>
  <c r="BV37" i="4"/>
  <c r="BY37" i="4"/>
  <c r="CC37" i="4"/>
  <c r="CG37" i="4"/>
  <c r="DD32" i="4"/>
  <c r="DD33" i="4"/>
  <c r="DD35" i="4"/>
  <c r="DD36" i="4"/>
  <c r="CZ30" i="4"/>
  <c r="CZ31" i="4"/>
  <c r="CZ32" i="4"/>
  <c r="CZ33" i="4"/>
  <c r="CZ36" i="4"/>
  <c r="CN27" i="4"/>
  <c r="CN28" i="4"/>
  <c r="CN29" i="4"/>
  <c r="CN30" i="4"/>
  <c r="CN31" i="4"/>
  <c r="CN32" i="4"/>
  <c r="CN33" i="4"/>
  <c r="CN36" i="4"/>
  <c r="CJ20" i="4"/>
  <c r="CJ26" i="4"/>
  <c r="CJ27" i="4"/>
  <c r="CJ28" i="4"/>
  <c r="CJ29" i="4"/>
  <c r="CJ31" i="4"/>
  <c r="CJ32" i="4"/>
  <c r="CJ33" i="4"/>
  <c r="CJ36" i="4"/>
  <c r="CJ37" i="4"/>
  <c r="CN62" i="4"/>
  <c r="DN74" i="4"/>
  <c r="DJ74" i="4"/>
  <c r="DG74" i="4"/>
  <c r="DD74" i="4"/>
  <c r="DN73" i="4"/>
  <c r="DJ73" i="4"/>
  <c r="DG73" i="4"/>
  <c r="DD73" i="4"/>
  <c r="DN71" i="4"/>
  <c r="DJ71" i="4"/>
  <c r="DG71" i="4"/>
  <c r="DD71" i="4"/>
  <c r="DN70" i="4"/>
  <c r="DJ70" i="4"/>
  <c r="DG70" i="4"/>
  <c r="DD70" i="4"/>
  <c r="DN69" i="4"/>
  <c r="DJ69" i="4"/>
  <c r="DG69" i="4"/>
  <c r="DD69" i="4"/>
  <c r="DN67" i="4"/>
  <c r="DJ67" i="4"/>
  <c r="DG67" i="4"/>
  <c r="DD67" i="4"/>
  <c r="DN66" i="4"/>
  <c r="DJ66" i="4"/>
  <c r="DG66" i="4"/>
  <c r="DD66" i="4"/>
  <c r="DN65" i="4"/>
  <c r="DJ65" i="4"/>
  <c r="DG65" i="4"/>
  <c r="DD65" i="4"/>
  <c r="DN64" i="4"/>
  <c r="DJ64" i="4"/>
  <c r="DG64" i="4"/>
  <c r="DN63" i="4"/>
  <c r="DJ63" i="4"/>
  <c r="DG63" i="4"/>
  <c r="DD63" i="4"/>
  <c r="DJ62" i="4"/>
  <c r="DD62" i="4"/>
  <c r="DN61" i="4"/>
  <c r="DJ61" i="4"/>
  <c r="DG61" i="4"/>
  <c r="DD61" i="4"/>
  <c r="DN60" i="4"/>
  <c r="DJ60" i="4"/>
  <c r="DG60" i="4"/>
  <c r="DD60" i="4"/>
  <c r="DN57" i="4"/>
  <c r="DJ57" i="4"/>
  <c r="DG57" i="4"/>
  <c r="DD57" i="4"/>
  <c r="DN55" i="4"/>
  <c r="DJ55" i="4"/>
  <c r="DG55" i="4"/>
  <c r="DD55" i="4"/>
  <c r="DN51" i="4"/>
  <c r="DJ51" i="4"/>
  <c r="DG51" i="4"/>
  <c r="DD51" i="4"/>
  <c r="DN50" i="4"/>
  <c r="DJ50" i="4"/>
  <c r="DG50" i="4"/>
  <c r="DD50" i="4"/>
  <c r="DN49" i="4"/>
  <c r="DJ49" i="4"/>
  <c r="DG49" i="4"/>
  <c r="DD49" i="4"/>
  <c r="DN47" i="4"/>
  <c r="DJ47" i="4"/>
  <c r="DG47" i="4"/>
  <c r="DD47" i="4"/>
  <c r="DN46" i="4"/>
  <c r="DJ46" i="4"/>
  <c r="DG46" i="4"/>
  <c r="DD46" i="4"/>
  <c r="DN45" i="4"/>
  <c r="DJ45" i="4"/>
  <c r="DG45" i="4"/>
  <c r="DD45" i="4"/>
  <c r="DN44" i="4"/>
  <c r="DJ44" i="4"/>
  <c r="DG44" i="4"/>
  <c r="DD44" i="4"/>
  <c r="DN42" i="4"/>
  <c r="DJ42" i="4"/>
  <c r="DG42" i="4"/>
  <c r="DD42" i="4"/>
  <c r="DN41" i="4"/>
  <c r="DJ41" i="4"/>
  <c r="DG41" i="4"/>
  <c r="DD41" i="4"/>
  <c r="DN40" i="4"/>
  <c r="DJ40" i="4"/>
  <c r="DG40" i="4"/>
  <c r="DD40" i="4"/>
  <c r="DN39" i="4"/>
  <c r="DJ39" i="4"/>
  <c r="DG39" i="4"/>
  <c r="DD39" i="4"/>
  <c r="DN38" i="4"/>
  <c r="DJ38" i="4"/>
  <c r="DG38" i="4"/>
  <c r="DD38" i="4"/>
  <c r="DN37" i="4"/>
  <c r="DJ37" i="4"/>
  <c r="DG37" i="4"/>
  <c r="DD37" i="4"/>
  <c r="DN36" i="4"/>
  <c r="DJ36" i="4"/>
  <c r="DG36" i="4"/>
  <c r="DN35" i="4"/>
  <c r="DJ35" i="4"/>
  <c r="DG35" i="4"/>
  <c r="DJ34" i="4"/>
  <c r="DG34" i="4"/>
  <c r="M177" i="87" s="1"/>
  <c r="N177" i="87" s="1"/>
  <c r="DJ33" i="4"/>
  <c r="DG33" i="4"/>
  <c r="DN32" i="4"/>
  <c r="DJ32" i="4"/>
  <c r="DG32" i="4"/>
  <c r="DN31" i="4"/>
  <c r="DJ31" i="4"/>
  <c r="DG31" i="4"/>
  <c r="DD31" i="4"/>
  <c r="DN30" i="4"/>
  <c r="DJ30" i="4"/>
  <c r="DG30" i="4"/>
  <c r="DD30" i="4"/>
  <c r="DN29" i="4"/>
  <c r="DJ29" i="4"/>
  <c r="DG29" i="4"/>
  <c r="DD29" i="4"/>
  <c r="DN28" i="4"/>
  <c r="DJ28" i="4"/>
  <c r="DG28" i="4"/>
  <c r="DD28" i="4"/>
  <c r="DN27" i="4"/>
  <c r="DJ27" i="4"/>
  <c r="DG27" i="4"/>
  <c r="DD27" i="4"/>
  <c r="DN26" i="4"/>
  <c r="DJ26" i="4"/>
  <c r="DG26" i="4"/>
  <c r="DN25" i="4"/>
  <c r="DJ25" i="4"/>
  <c r="DG25" i="4"/>
  <c r="DD25" i="4"/>
  <c r="DN24" i="4"/>
  <c r="DJ24" i="4"/>
  <c r="DG24" i="4"/>
  <c r="DD24" i="4"/>
  <c r="DN23" i="4"/>
  <c r="DJ23" i="4"/>
  <c r="DG23" i="4"/>
  <c r="DD23" i="4"/>
  <c r="M123" i="105"/>
  <c r="DJ22" i="4"/>
  <c r="M144" i="105" s="1"/>
  <c r="N144" i="105" s="1"/>
  <c r="DG22" i="4"/>
  <c r="M141" i="105" s="1"/>
  <c r="N141" i="105" s="1"/>
  <c r="DD22" i="4"/>
  <c r="M137" i="105" s="1"/>
  <c r="N137" i="105" s="1"/>
  <c r="DN21" i="4"/>
  <c r="DJ21" i="4"/>
  <c r="DG21" i="4"/>
  <c r="DD21" i="4"/>
  <c r="DN20" i="4"/>
  <c r="DJ20" i="4"/>
  <c r="DG20" i="4"/>
  <c r="DD20" i="4"/>
  <c r="DJ19" i="4"/>
  <c r="DG19" i="4"/>
  <c r="DD19" i="4"/>
  <c r="DN18" i="4"/>
  <c r="DJ18" i="4"/>
  <c r="DG18" i="4"/>
  <c r="DN17" i="4"/>
  <c r="DJ17" i="4"/>
  <c r="DG17" i="4"/>
  <c r="DD17" i="4"/>
  <c r="CZ74" i="4"/>
  <c r="CN74" i="4"/>
  <c r="CJ74" i="4"/>
  <c r="CZ73" i="4"/>
  <c r="CN73" i="4"/>
  <c r="CJ73" i="4"/>
  <c r="CZ71" i="4"/>
  <c r="CN71" i="4"/>
  <c r="CJ71" i="4"/>
  <c r="CZ70" i="4"/>
  <c r="CN70" i="4"/>
  <c r="CJ70" i="4"/>
  <c r="CZ69" i="4"/>
  <c r="CN69" i="4"/>
  <c r="CJ69" i="4"/>
  <c r="CZ67" i="4"/>
  <c r="CN67" i="4"/>
  <c r="CJ67" i="4"/>
  <c r="CZ66" i="4"/>
  <c r="CN66" i="4"/>
  <c r="CJ66" i="4"/>
  <c r="CZ65" i="4"/>
  <c r="CN65" i="4"/>
  <c r="CJ65" i="4"/>
  <c r="CZ64" i="4"/>
  <c r="CN64" i="4"/>
  <c r="CJ64" i="4"/>
  <c r="CZ63" i="4"/>
  <c r="CN63" i="4"/>
  <c r="CZ62" i="4"/>
  <c r="CZ60" i="4"/>
  <c r="CN60" i="4"/>
  <c r="CJ60" i="4"/>
  <c r="CZ57" i="4"/>
  <c r="CN57" i="4"/>
  <c r="CJ57" i="4"/>
  <c r="CZ55" i="4"/>
  <c r="CN55" i="4"/>
  <c r="CJ55" i="4"/>
  <c r="CZ51" i="4"/>
  <c r="CN51" i="4"/>
  <c r="CJ51" i="4"/>
  <c r="CZ50" i="4"/>
  <c r="CJ50" i="4"/>
  <c r="CZ49" i="4"/>
  <c r="CJ49" i="4"/>
  <c r="CZ47" i="4"/>
  <c r="CJ47" i="4"/>
  <c r="CZ46" i="4"/>
  <c r="CJ46" i="4"/>
  <c r="CZ45" i="4"/>
  <c r="CJ45" i="4"/>
  <c r="CZ44" i="4"/>
  <c r="CJ44" i="4"/>
  <c r="CZ42" i="4"/>
  <c r="CJ42" i="4"/>
  <c r="CZ41" i="4"/>
  <c r="CJ41" i="4"/>
  <c r="CZ40" i="4"/>
  <c r="CJ40" i="4"/>
  <c r="CZ39" i="4"/>
  <c r="CJ39" i="4"/>
  <c r="CZ38" i="4"/>
  <c r="CJ38" i="4"/>
  <c r="CZ37" i="4"/>
  <c r="CZ29" i="4"/>
  <c r="CZ28" i="4"/>
  <c r="CZ27" i="4"/>
  <c r="CZ26" i="4"/>
  <c r="CN26" i="4"/>
  <c r="CZ25" i="4"/>
  <c r="M122" i="105" s="1"/>
  <c r="CN25" i="4"/>
  <c r="CZ24" i="4"/>
  <c r="CN24" i="4"/>
  <c r="CZ23" i="4"/>
  <c r="M120" i="105" s="1"/>
  <c r="CN23" i="4"/>
  <c r="CZ22" i="4"/>
  <c r="M119" i="105" s="1"/>
  <c r="N119" i="105" s="1"/>
  <c r="CN22" i="4"/>
  <c r="M116" i="105" s="1"/>
  <c r="N116" i="105" s="1"/>
  <c r="CZ21" i="4"/>
  <c r="CN21" i="4"/>
  <c r="CZ20" i="4"/>
  <c r="CN20" i="4"/>
  <c r="CZ19" i="4"/>
  <c r="CN19" i="4"/>
  <c r="CJ19" i="4"/>
  <c r="CZ18" i="4"/>
  <c r="CN18" i="4"/>
  <c r="CJ18" i="4"/>
  <c r="CZ17" i="4"/>
  <c r="CN17" i="4"/>
  <c r="CJ17" i="4"/>
  <c r="CG74" i="4"/>
  <c r="CC74" i="4"/>
  <c r="BY74" i="4"/>
  <c r="CG73" i="4"/>
  <c r="CC73" i="4"/>
  <c r="BY73" i="4"/>
  <c r="CG71" i="4"/>
  <c r="CC71" i="4"/>
  <c r="BY71" i="4"/>
  <c r="CG70" i="4"/>
  <c r="CC70" i="4"/>
  <c r="BY70" i="4"/>
  <c r="CG69" i="4"/>
  <c r="CC69" i="4"/>
  <c r="BY69" i="4"/>
  <c r="CG67" i="4"/>
  <c r="CC67" i="4"/>
  <c r="BY67" i="4"/>
  <c r="CG66" i="4"/>
  <c r="CC66" i="4"/>
  <c r="BY66" i="4"/>
  <c r="CG65" i="4"/>
  <c r="CC65" i="4"/>
  <c r="BY65" i="4"/>
  <c r="CG64" i="4"/>
  <c r="CC64" i="4"/>
  <c r="BY64" i="4"/>
  <c r="CG63" i="4"/>
  <c r="CC63" i="4"/>
  <c r="BY63" i="4"/>
  <c r="CG62" i="4"/>
  <c r="BY62" i="4"/>
  <c r="CG60" i="4"/>
  <c r="CC60" i="4"/>
  <c r="BY60" i="4"/>
  <c r="CG57" i="4"/>
  <c r="CC57" i="4"/>
  <c r="BY57" i="4"/>
  <c r="CG55" i="4"/>
  <c r="CC55" i="4"/>
  <c r="BY55" i="4"/>
  <c r="CG51" i="4"/>
  <c r="CC51" i="4"/>
  <c r="BY51" i="4"/>
  <c r="CG50" i="4"/>
  <c r="CC50" i="4"/>
  <c r="BY50" i="4"/>
  <c r="CG49" i="4"/>
  <c r="CC49" i="4"/>
  <c r="BY49" i="4"/>
  <c r="CG47" i="4"/>
  <c r="CC47" i="4"/>
  <c r="BY47" i="4"/>
  <c r="CG46" i="4"/>
  <c r="CC46" i="4"/>
  <c r="BY46" i="4"/>
  <c r="CG45" i="4"/>
  <c r="CC45" i="4"/>
  <c r="BY45" i="4"/>
  <c r="CG44" i="4"/>
  <c r="CC44" i="4"/>
  <c r="BY44" i="4"/>
  <c r="CG42" i="4"/>
  <c r="CC42" i="4"/>
  <c r="BY42" i="4"/>
  <c r="CG41" i="4"/>
  <c r="CC41" i="4"/>
  <c r="BY41" i="4"/>
  <c r="CG40" i="4"/>
  <c r="CC40" i="4"/>
  <c r="BY40" i="4"/>
  <c r="CG39" i="4"/>
  <c r="CC39" i="4"/>
  <c r="BY39" i="4"/>
  <c r="CG38" i="4"/>
  <c r="CC38" i="4"/>
  <c r="BY38" i="4"/>
  <c r="CG33" i="4"/>
  <c r="CC33" i="4"/>
  <c r="BY33" i="4"/>
  <c r="CG32" i="4"/>
  <c r="CC32" i="4"/>
  <c r="BY32" i="4"/>
  <c r="CG31" i="4"/>
  <c r="CC31" i="4"/>
  <c r="BY31" i="4"/>
  <c r="CG30" i="4"/>
  <c r="CC30" i="4"/>
  <c r="BY30" i="4"/>
  <c r="CG29" i="4"/>
  <c r="CC29" i="4"/>
  <c r="BY29" i="4"/>
  <c r="CG28" i="4"/>
  <c r="CC28" i="4"/>
  <c r="BY28" i="4"/>
  <c r="CG27" i="4"/>
  <c r="CC27" i="4"/>
  <c r="BY27" i="4"/>
  <c r="CG26" i="4"/>
  <c r="CC26" i="4"/>
  <c r="BY26" i="4"/>
  <c r="BY25" i="4"/>
  <c r="CG24" i="4"/>
  <c r="BY24" i="4"/>
  <c r="CG23" i="4"/>
  <c r="BY23" i="4"/>
  <c r="CC22" i="4"/>
  <c r="M97" i="105" s="1"/>
  <c r="N97" i="105" s="1"/>
  <c r="BY22" i="4"/>
  <c r="M103" i="105" s="1"/>
  <c r="N103" i="105" s="1"/>
  <c r="CG21" i="4"/>
  <c r="CC21" i="4"/>
  <c r="BY21" i="4"/>
  <c r="CG20" i="4"/>
  <c r="CC20" i="4"/>
  <c r="BY20" i="4"/>
  <c r="CG19" i="4"/>
  <c r="CC19" i="4"/>
  <c r="BY19" i="4"/>
  <c r="CG18" i="4"/>
  <c r="CC18" i="4"/>
  <c r="BY18" i="4"/>
  <c r="CG17" i="4"/>
  <c r="CC17" i="4"/>
  <c r="BY17" i="4"/>
  <c r="BV74" i="4"/>
  <c r="BS74" i="4"/>
  <c r="BP74" i="4"/>
  <c r="BM74" i="4"/>
  <c r="BV73" i="4"/>
  <c r="BS73" i="4"/>
  <c r="BP73" i="4"/>
  <c r="BM73" i="4"/>
  <c r="BV71" i="4"/>
  <c r="BS71" i="4"/>
  <c r="BP71" i="4"/>
  <c r="BM71" i="4"/>
  <c r="BV70" i="4"/>
  <c r="BS70" i="4"/>
  <c r="BP70" i="4"/>
  <c r="BM70" i="4"/>
  <c r="BV69" i="4"/>
  <c r="BS69" i="4"/>
  <c r="BP69" i="4"/>
  <c r="BM69" i="4"/>
  <c r="BV67" i="4"/>
  <c r="BS67" i="4"/>
  <c r="BP67" i="4"/>
  <c r="BM67" i="4"/>
  <c r="BV66" i="4"/>
  <c r="BS66" i="4"/>
  <c r="BP66" i="4"/>
  <c r="BM66" i="4"/>
  <c r="BV65" i="4"/>
  <c r="BS65" i="4"/>
  <c r="BP65" i="4"/>
  <c r="BM65" i="4"/>
  <c r="BV64" i="4"/>
  <c r="BS64" i="4"/>
  <c r="BP64" i="4"/>
  <c r="BM64" i="4"/>
  <c r="BV63" i="4"/>
  <c r="BS63" i="4"/>
  <c r="BP63" i="4"/>
  <c r="BV62" i="4"/>
  <c r="BS62" i="4"/>
  <c r="BP62" i="4"/>
  <c r="BV61" i="4"/>
  <c r="BS61" i="4"/>
  <c r="BP61" i="4"/>
  <c r="BM61" i="4"/>
  <c r="BV60" i="4"/>
  <c r="BS60" i="4"/>
  <c r="BP60" i="4"/>
  <c r="BM60" i="4"/>
  <c r="BV57" i="4"/>
  <c r="BS57" i="4"/>
  <c r="BP57" i="4"/>
  <c r="BM57" i="4"/>
  <c r="BV55" i="4"/>
  <c r="BS55" i="4"/>
  <c r="BP55" i="4"/>
  <c r="BM55" i="4"/>
  <c r="BV51" i="4"/>
  <c r="BS51" i="4"/>
  <c r="BP51" i="4"/>
  <c r="BM51" i="4"/>
  <c r="BV50" i="4"/>
  <c r="BS50" i="4"/>
  <c r="BP50" i="4"/>
  <c r="BM50" i="4"/>
  <c r="BV49" i="4"/>
  <c r="BS49" i="4"/>
  <c r="BP49" i="4"/>
  <c r="BM49" i="4"/>
  <c r="BV47" i="4"/>
  <c r="BS47" i="4"/>
  <c r="BP47" i="4"/>
  <c r="BM47" i="4"/>
  <c r="BV46" i="4"/>
  <c r="BS46" i="4"/>
  <c r="BP46" i="4"/>
  <c r="BM46" i="4"/>
  <c r="BS45" i="4"/>
  <c r="BM45" i="4"/>
  <c r="BV44" i="4"/>
  <c r="BS44" i="4"/>
  <c r="BP44" i="4"/>
  <c r="BM44" i="4"/>
  <c r="BV42" i="4"/>
  <c r="BS42" i="4"/>
  <c r="BP42" i="4"/>
  <c r="BM42" i="4"/>
  <c r="BV41" i="4"/>
  <c r="BS41" i="4"/>
  <c r="BP41" i="4"/>
  <c r="BM41" i="4"/>
  <c r="BV40" i="4"/>
  <c r="BS40" i="4"/>
  <c r="BP40" i="4"/>
  <c r="BM40" i="4"/>
  <c r="BV39" i="4"/>
  <c r="BS39" i="4"/>
  <c r="BP39" i="4"/>
  <c r="BM39" i="4"/>
  <c r="BV38" i="4"/>
  <c r="BS38" i="4"/>
  <c r="BP38" i="4"/>
  <c r="BV33" i="4"/>
  <c r="BS33" i="4"/>
  <c r="BP33" i="4"/>
  <c r="BM33" i="4"/>
  <c r="BV32" i="4"/>
  <c r="BS32" i="4"/>
  <c r="BP32" i="4"/>
  <c r="BM32" i="4"/>
  <c r="BV31" i="4"/>
  <c r="BS31" i="4"/>
  <c r="BP31" i="4"/>
  <c r="BM31" i="4"/>
  <c r="BV30" i="4"/>
  <c r="BP30" i="4"/>
  <c r="BM30" i="4"/>
  <c r="BV29" i="4"/>
  <c r="BS29" i="4"/>
  <c r="BP29" i="4"/>
  <c r="BM29" i="4"/>
  <c r="BV28" i="4"/>
  <c r="BS28" i="4"/>
  <c r="BP28" i="4"/>
  <c r="BM28" i="4"/>
  <c r="BV27" i="4"/>
  <c r="BS27" i="4"/>
  <c r="BP27" i="4"/>
  <c r="BM27" i="4"/>
  <c r="BV26" i="4"/>
  <c r="BS26" i="4"/>
  <c r="BP26" i="4"/>
  <c r="BM26" i="4"/>
  <c r="BV25" i="4"/>
  <c r="BS25" i="4"/>
  <c r="BP25" i="4"/>
  <c r="BV24" i="4"/>
  <c r="BS24" i="4"/>
  <c r="BP24" i="4"/>
  <c r="BV23" i="4"/>
  <c r="BS23" i="4"/>
  <c r="BP23" i="4"/>
  <c r="BM23" i="4"/>
  <c r="BV22" i="4"/>
  <c r="M90" i="105" s="1"/>
  <c r="N90" i="105" s="1"/>
  <c r="BS22" i="4"/>
  <c r="M93" i="105" s="1"/>
  <c r="N93" i="105" s="1"/>
  <c r="BP22" i="4"/>
  <c r="M87" i="105" s="1"/>
  <c r="N87" i="105" s="1"/>
  <c r="BM22" i="4"/>
  <c r="M158" i="105" s="1"/>
  <c r="N158" i="105" s="1"/>
  <c r="BV21" i="4"/>
  <c r="BS21" i="4"/>
  <c r="BP21" i="4"/>
  <c r="BV20" i="4"/>
  <c r="BS20" i="4"/>
  <c r="BP20" i="4"/>
  <c r="BM20" i="4"/>
  <c r="BV19" i="4"/>
  <c r="BS19" i="4"/>
  <c r="BP19" i="4"/>
  <c r="BM19" i="4"/>
  <c r="BV18" i="4"/>
  <c r="BS18" i="4"/>
  <c r="BP18" i="4"/>
  <c r="BM18" i="4"/>
  <c r="BV17" i="4"/>
  <c r="BS17" i="4"/>
  <c r="BP17" i="4"/>
  <c r="BM17" i="4"/>
  <c r="BG74" i="4"/>
  <c r="AX74" i="4"/>
  <c r="BG73" i="4"/>
  <c r="AX73" i="4"/>
  <c r="BG71" i="4"/>
  <c r="AX71" i="4"/>
  <c r="BG70" i="4"/>
  <c r="AX70" i="4"/>
  <c r="BG69" i="4"/>
  <c r="AX69" i="4"/>
  <c r="BG67" i="4"/>
  <c r="AX67" i="4"/>
  <c r="BG66" i="4"/>
  <c r="AX66" i="4"/>
  <c r="BG65" i="4"/>
  <c r="AX65" i="4"/>
  <c r="BG64" i="4"/>
  <c r="AX64" i="4"/>
  <c r="BG63" i="4"/>
  <c r="AX63" i="4"/>
  <c r="BG60" i="4"/>
  <c r="AX60" i="4"/>
  <c r="BG57" i="4"/>
  <c r="AX57" i="4"/>
  <c r="BG55" i="4"/>
  <c r="AX55" i="4"/>
  <c r="BG51" i="4"/>
  <c r="AX51" i="4"/>
  <c r="BG50" i="4"/>
  <c r="AX50" i="4"/>
  <c r="BG49" i="4"/>
  <c r="AX49" i="4"/>
  <c r="BG47" i="4"/>
  <c r="AX47" i="4"/>
  <c r="BG46" i="4"/>
  <c r="AX46" i="4"/>
  <c r="AX45" i="4"/>
  <c r="BG44" i="4"/>
  <c r="AX44" i="4"/>
  <c r="BG42" i="4"/>
  <c r="AX42" i="4"/>
  <c r="BG41" i="4"/>
  <c r="AX41" i="4"/>
  <c r="BG40" i="4"/>
  <c r="AX40" i="4"/>
  <c r="BG39" i="4"/>
  <c r="AX39" i="4"/>
  <c r="BG38" i="4"/>
  <c r="AX38" i="4"/>
  <c r="BG33" i="4"/>
  <c r="M35" i="106" s="1"/>
  <c r="N35" i="106" s="1"/>
  <c r="AX33" i="4"/>
  <c r="BG32" i="4"/>
  <c r="AX32" i="4"/>
  <c r="BG31" i="4"/>
  <c r="AX31" i="4"/>
  <c r="BG30" i="4"/>
  <c r="BG29" i="4"/>
  <c r="AX29" i="4"/>
  <c r="BG28" i="4"/>
  <c r="AX28" i="4"/>
  <c r="BG27" i="4"/>
  <c r="M32" i="123" s="1"/>
  <c r="N32" i="123" s="1"/>
  <c r="AX27" i="4"/>
  <c r="BG26" i="4"/>
  <c r="AX26" i="4"/>
  <c r="AX24" i="4"/>
  <c r="BG22" i="4"/>
  <c r="M84" i="105" s="1"/>
  <c r="N84" i="105" s="1"/>
  <c r="AX22" i="4"/>
  <c r="M79" i="105" s="1"/>
  <c r="N79" i="105" s="1"/>
  <c r="BG21" i="4"/>
  <c r="BG20" i="4"/>
  <c r="AX20" i="4"/>
  <c r="BG19" i="4"/>
  <c r="AX19" i="4"/>
  <c r="BG18" i="4"/>
  <c r="AX18" i="4"/>
  <c r="BG17" i="4"/>
  <c r="AX17" i="4"/>
  <c r="AU74" i="4"/>
  <c r="AU73" i="4"/>
  <c r="AU71" i="4"/>
  <c r="AU70" i="4"/>
  <c r="AU69" i="4"/>
  <c r="AU67" i="4"/>
  <c r="AU66" i="4"/>
  <c r="AU65" i="4"/>
  <c r="AU64" i="4"/>
  <c r="AU63" i="4"/>
  <c r="AU62" i="4"/>
  <c r="AU60" i="4"/>
  <c r="AU57" i="4"/>
  <c r="AU55" i="4"/>
  <c r="AU51" i="4"/>
  <c r="AU50" i="4"/>
  <c r="AU49" i="4"/>
  <c r="AU47" i="4"/>
  <c r="AU46" i="4"/>
  <c r="AU45" i="4"/>
  <c r="AU44" i="4"/>
  <c r="AU42" i="4"/>
  <c r="AU41" i="4"/>
  <c r="AU40" i="4"/>
  <c r="AU39" i="4"/>
  <c r="AU38" i="4"/>
  <c r="AU33" i="4"/>
  <c r="AU32" i="4"/>
  <c r="AU31" i="4"/>
  <c r="AU30" i="4"/>
  <c r="AU29" i="4"/>
  <c r="AU28" i="4"/>
  <c r="AU27" i="4"/>
  <c r="AU26" i="4"/>
  <c r="AU25" i="4"/>
  <c r="AU24" i="4"/>
  <c r="AU21" i="4"/>
  <c r="AU20" i="4"/>
  <c r="AU19" i="4"/>
  <c r="AU18" i="4"/>
  <c r="AU17" i="4"/>
  <c r="AO74" i="4"/>
  <c r="AO73" i="4"/>
  <c r="AO71" i="4"/>
  <c r="AO70" i="4"/>
  <c r="AO67" i="4"/>
  <c r="AO66" i="4"/>
  <c r="AO65" i="4"/>
  <c r="AO64" i="4"/>
  <c r="AO60" i="4"/>
  <c r="AO57" i="4"/>
  <c r="AO55" i="4"/>
  <c r="AO51" i="4"/>
  <c r="AO50" i="4"/>
  <c r="AO49" i="4"/>
  <c r="AO47" i="4"/>
  <c r="AO46" i="4"/>
  <c r="AO45" i="4"/>
  <c r="AO44" i="4"/>
  <c r="AO42" i="4"/>
  <c r="AO41" i="4"/>
  <c r="AO40" i="4"/>
  <c r="AO39" i="4"/>
  <c r="AO38" i="4"/>
  <c r="AO33" i="4"/>
  <c r="AO32" i="4"/>
  <c r="AO31" i="4"/>
  <c r="AO30" i="4"/>
  <c r="AO29" i="4"/>
  <c r="AO28" i="4"/>
  <c r="AO27" i="4"/>
  <c r="AO26" i="4"/>
  <c r="AO22" i="4"/>
  <c r="M54" i="105" s="1"/>
  <c r="N54" i="105" s="1"/>
  <c r="AO21" i="4"/>
  <c r="M61" i="104" s="1"/>
  <c r="N61" i="104" s="1"/>
  <c r="AO20" i="4"/>
  <c r="AO19" i="4"/>
  <c r="AO18" i="4"/>
  <c r="AO17" i="4"/>
  <c r="AL74" i="4"/>
  <c r="AL73" i="4"/>
  <c r="AL71" i="4"/>
  <c r="AL70" i="4"/>
  <c r="AL69" i="4"/>
  <c r="AL67" i="4"/>
  <c r="AL66" i="4"/>
  <c r="AL65" i="4"/>
  <c r="AL64" i="4"/>
  <c r="AL63" i="4"/>
  <c r="AL62" i="4"/>
  <c r="AL60" i="4"/>
  <c r="AL57" i="4"/>
  <c r="AL55" i="4"/>
  <c r="AL51" i="4"/>
  <c r="AL50" i="4"/>
  <c r="AL49" i="4"/>
  <c r="AL47" i="4"/>
  <c r="AL46" i="4"/>
  <c r="AL45" i="4"/>
  <c r="AL44" i="4"/>
  <c r="AL42" i="4"/>
  <c r="AL41" i="4"/>
  <c r="AL40" i="4"/>
  <c r="AL39" i="4"/>
  <c r="AL38" i="4"/>
  <c r="AL33" i="4"/>
  <c r="AL32" i="4"/>
  <c r="AL31" i="4"/>
  <c r="AL30" i="4"/>
  <c r="AL29" i="4"/>
  <c r="AL27" i="4"/>
  <c r="AL26" i="4"/>
  <c r="AL23" i="4"/>
  <c r="AL20" i="4"/>
  <c r="AL19" i="4"/>
  <c r="AL18" i="4"/>
  <c r="AL17" i="4"/>
  <c r="AI76" i="4"/>
  <c r="AI74" i="4"/>
  <c r="AI73" i="4"/>
  <c r="AI71" i="4"/>
  <c r="AI70" i="4"/>
  <c r="AI69" i="4"/>
  <c r="AI67" i="4"/>
  <c r="AI66" i="4"/>
  <c r="AI65" i="4"/>
  <c r="AI64" i="4"/>
  <c r="AI60" i="4"/>
  <c r="AI57" i="4"/>
  <c r="AI55" i="4"/>
  <c r="AI51" i="4"/>
  <c r="AI50" i="4"/>
  <c r="AI49" i="4"/>
  <c r="AI47" i="4"/>
  <c r="AI46" i="4"/>
  <c r="AI45" i="4"/>
  <c r="AI44" i="4"/>
  <c r="AI42" i="4"/>
  <c r="AI41" i="4"/>
  <c r="AI40" i="4"/>
  <c r="AI39" i="4"/>
  <c r="AI38" i="4"/>
  <c r="AI33" i="4"/>
  <c r="AI32" i="4"/>
  <c r="AI31" i="4"/>
  <c r="AI30" i="4"/>
  <c r="AI29" i="4"/>
  <c r="AI28" i="4"/>
  <c r="AI27" i="4"/>
  <c r="AI26" i="4"/>
  <c r="AI25" i="4"/>
  <c r="M14" i="125" s="1"/>
  <c r="N14" i="125" s="1"/>
  <c r="AI24" i="4"/>
  <c r="M14" i="123" s="1"/>
  <c r="N14" i="123" s="1"/>
  <c r="AI20" i="4"/>
  <c r="AI19" i="4"/>
  <c r="AI18" i="4"/>
  <c r="AI17" i="4"/>
  <c r="T74" i="4"/>
  <c r="T73" i="4"/>
  <c r="T71" i="4"/>
  <c r="T70" i="4"/>
  <c r="T67" i="4"/>
  <c r="T66" i="4"/>
  <c r="T62" i="4"/>
  <c r="T61" i="4"/>
  <c r="T57" i="4"/>
  <c r="T55" i="4"/>
  <c r="T51" i="4"/>
  <c r="T50" i="4"/>
  <c r="T45" i="4"/>
  <c r="T44" i="4"/>
  <c r="T41" i="4"/>
  <c r="T40" i="4"/>
  <c r="T39" i="4"/>
  <c r="T33" i="4"/>
  <c r="T30" i="4"/>
  <c r="T29" i="4"/>
  <c r="T19" i="4"/>
  <c r="T18" i="4"/>
  <c r="T17" i="4"/>
  <c r="M58" i="125" l="1"/>
  <c r="N58" i="125" s="1"/>
  <c r="M180" i="87"/>
  <c r="N180" i="87" s="1"/>
  <c r="DJ54" i="4"/>
  <c r="DJ58" i="4" s="1"/>
  <c r="M114" i="87"/>
  <c r="N114" i="87" s="1"/>
  <c r="M107" i="87"/>
  <c r="N107" i="87" s="1"/>
  <c r="EE76" i="4"/>
  <c r="K76" i="4"/>
  <c r="K66" i="4"/>
  <c r="K57" i="4"/>
  <c r="K71" i="4"/>
  <c r="V160" i="94"/>
  <c r="W160" i="94" s="1"/>
  <c r="EE39" i="4"/>
  <c r="EE40" i="4"/>
  <c r="EE41" i="4"/>
  <c r="EE71" i="4"/>
  <c r="F130" i="131"/>
  <c r="EH17" i="4"/>
  <c r="F131" i="131"/>
  <c r="EE73" i="4"/>
  <c r="EE66" i="4"/>
  <c r="EE57" i="4"/>
  <c r="M38" i="106"/>
  <c r="N38" i="106" s="1"/>
  <c r="M20" i="106"/>
  <c r="N20" i="106" s="1"/>
  <c r="K41" i="4"/>
  <c r="K39" i="4"/>
  <c r="K40" i="4"/>
  <c r="M32" i="106"/>
  <c r="N32" i="106" s="1"/>
  <c r="EE17" i="4"/>
  <c r="M9" i="107"/>
  <c r="M11" i="107"/>
  <c r="EF41" i="4" l="1"/>
  <c r="EF40" i="4"/>
  <c r="EF39" i="4"/>
  <c r="D178" i="131"/>
  <c r="EH71" i="4"/>
  <c r="D174" i="131"/>
  <c r="EH66" i="4"/>
  <c r="D166" i="131"/>
  <c r="EH57" i="4"/>
  <c r="D153" i="131"/>
  <c r="E153" i="131" s="1"/>
  <c r="F153" i="131" s="1"/>
  <c r="G153" i="131" s="1"/>
  <c r="H153" i="131" s="1"/>
  <c r="I153" i="131" s="1"/>
  <c r="EH40" i="4"/>
  <c r="D154" i="131"/>
  <c r="E154" i="131" s="1"/>
  <c r="F154" i="131" s="1"/>
  <c r="G154" i="131" s="1"/>
  <c r="H154" i="131" s="1"/>
  <c r="I154" i="131" s="1"/>
  <c r="EH41" i="4"/>
  <c r="D152" i="131"/>
  <c r="E152" i="131" s="1"/>
  <c r="F152" i="131" s="1"/>
  <c r="G152" i="131" s="1"/>
  <c r="H152" i="131" s="1"/>
  <c r="I152" i="131" s="1"/>
  <c r="EH39" i="4"/>
  <c r="DX40" i="130"/>
  <c r="DX54" i="130"/>
  <c r="DX39" i="130"/>
  <c r="DX41" i="130"/>
  <c r="DX68" i="130"/>
  <c r="L201" i="73"/>
  <c r="M201" i="73" s="1"/>
  <c r="DX63" i="130"/>
  <c r="N11" i="107"/>
  <c r="N9" i="107"/>
  <c r="G24" i="92" l="1"/>
  <c r="J24" i="92"/>
  <c r="I24" i="92"/>
  <c r="O24" i="92"/>
  <c r="L24" i="92"/>
  <c r="H24" i="92"/>
  <c r="N24" i="92"/>
  <c r="F24" i="92"/>
  <c r="K24" i="92"/>
  <c r="E24" i="92"/>
  <c r="M24" i="92"/>
  <c r="D24" i="92"/>
  <c r="AW72" i="4"/>
  <c r="O62" i="75"/>
  <c r="N62" i="75"/>
  <c r="K62" i="75"/>
  <c r="H62" i="75"/>
  <c r="G62" i="75"/>
  <c r="F62" i="75"/>
  <c r="R15" i="94"/>
  <c r="R30" i="94"/>
  <c r="R40" i="94"/>
  <c r="R73" i="94"/>
  <c r="R298" i="94"/>
  <c r="DX72" i="4"/>
  <c r="L155" i="73"/>
  <c r="M155" i="73" s="1"/>
  <c r="L154" i="73"/>
  <c r="C11" i="92"/>
  <c r="P11" i="92" s="1"/>
  <c r="EF73" i="4"/>
  <c r="DX75" i="4"/>
  <c r="K17" i="4"/>
  <c r="R78" i="94"/>
  <c r="R94" i="94"/>
  <c r="R281" i="94"/>
  <c r="R324" i="94"/>
  <c r="R287" i="94"/>
  <c r="R277" i="94"/>
  <c r="R187" i="94"/>
  <c r="R182" i="94"/>
  <c r="R167" i="94"/>
  <c r="R156" i="94"/>
  <c r="R144" i="94"/>
  <c r="R106" i="94"/>
  <c r="R82" i="94"/>
  <c r="R102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L75" i="4"/>
  <c r="CL72" i="4"/>
  <c r="DI75" i="4"/>
  <c r="DH75" i="4"/>
  <c r="DI72" i="4"/>
  <c r="DF75" i="4"/>
  <c r="DE75" i="4"/>
  <c r="DF72" i="4"/>
  <c r="DB75" i="4"/>
  <c r="DA75" i="4"/>
  <c r="DB72" i="4"/>
  <c r="CP75" i="4"/>
  <c r="CO75" i="4"/>
  <c r="CP72" i="4"/>
  <c r="CK75" i="4"/>
  <c r="CI75" i="4"/>
  <c r="CH75" i="4"/>
  <c r="CE75" i="4"/>
  <c r="CD75" i="4"/>
  <c r="CE72" i="4"/>
  <c r="CC75" i="4"/>
  <c r="CA75" i="4"/>
  <c r="BZ75" i="4"/>
  <c r="CA72" i="4"/>
  <c r="BX75" i="4"/>
  <c r="BW75" i="4"/>
  <c r="BX72" i="4"/>
  <c r="BW72" i="4"/>
  <c r="BU75" i="4"/>
  <c r="BT75" i="4"/>
  <c r="BU72" i="4"/>
  <c r="BT72" i="4"/>
  <c r="BR75" i="4"/>
  <c r="BQ75" i="4"/>
  <c r="BR72" i="4"/>
  <c r="BQ72" i="4"/>
  <c r="BO75" i="4"/>
  <c r="BN75" i="4"/>
  <c r="BO72" i="4"/>
  <c r="BI75" i="4"/>
  <c r="BH75" i="4"/>
  <c r="BI72" i="4"/>
  <c r="AZ75" i="4"/>
  <c r="AY75" i="4"/>
  <c r="AZ72" i="4"/>
  <c r="AW75" i="4"/>
  <c r="AV75" i="4"/>
  <c r="AQ75" i="4"/>
  <c r="AP75" i="4"/>
  <c r="AQ72" i="4"/>
  <c r="AN75" i="4"/>
  <c r="AM75" i="4"/>
  <c r="AN72" i="4"/>
  <c r="AK75" i="4"/>
  <c r="AJ75" i="4"/>
  <c r="AK72" i="4"/>
  <c r="V75" i="4"/>
  <c r="U75" i="4"/>
  <c r="V72" i="4"/>
  <c r="AA72" i="4"/>
  <c r="DQ75" i="4"/>
  <c r="DP75" i="4"/>
  <c r="DO75" i="4"/>
  <c r="DQ72" i="4"/>
  <c r="DP72" i="4"/>
  <c r="DL75" i="4"/>
  <c r="DK75" i="4"/>
  <c r="DL72" i="4"/>
  <c r="DK72" i="4"/>
  <c r="EH76" i="4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Q72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R75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V75" i="4"/>
  <c r="CW72" i="4"/>
  <c r="L16" i="4"/>
  <c r="M16" i="4"/>
  <c r="AA16" i="4"/>
  <c r="AH16" i="4"/>
  <c r="AI16" i="4"/>
  <c r="L72" i="4"/>
  <c r="M72" i="4"/>
  <c r="R72" i="4"/>
  <c r="AC72" i="4"/>
  <c r="AG72" i="4"/>
  <c r="AH72" i="4"/>
  <c r="AS72" i="4"/>
  <c r="AT72" i="4"/>
  <c r="BP72" i="4"/>
  <c r="CB72" i="4"/>
  <c r="CM72" i="4"/>
  <c r="DC72" i="4"/>
  <c r="DJ72" i="4"/>
  <c r="ED72" i="4"/>
  <c r="P75" i="4"/>
  <c r="R75" i="4"/>
  <c r="T75" i="4"/>
  <c r="X75" i="4"/>
  <c r="EI75" i="4" s="1"/>
  <c r="Y75" i="4"/>
  <c r="AA75" i="4"/>
  <c r="AB75" i="4"/>
  <c r="AC75" i="4"/>
  <c r="AF75" i="4"/>
  <c r="AG75" i="4"/>
  <c r="AH75" i="4"/>
  <c r="AI75" i="4"/>
  <c r="AL75" i="4"/>
  <c r="AO75" i="4"/>
  <c r="AR75" i="4"/>
  <c r="AS75" i="4"/>
  <c r="AT75" i="4"/>
  <c r="AU75" i="4"/>
  <c r="AX75" i="4"/>
  <c r="BG75" i="4"/>
  <c r="BM75" i="4"/>
  <c r="BP75" i="4"/>
  <c r="BS75" i="4"/>
  <c r="BV75" i="4"/>
  <c r="BY75" i="4"/>
  <c r="CB75" i="4"/>
  <c r="CF75" i="4"/>
  <c r="CG75" i="4"/>
  <c r="CJ75" i="4"/>
  <c r="CM75" i="4"/>
  <c r="CN75" i="4"/>
  <c r="CQ75" i="4"/>
  <c r="CT75" i="4"/>
  <c r="CW75" i="4"/>
  <c r="CZ75" i="4"/>
  <c r="DC75" i="4"/>
  <c r="DD75" i="4"/>
  <c r="DG75" i="4"/>
  <c r="DJ75" i="4"/>
  <c r="DM75" i="4"/>
  <c r="DN75" i="4"/>
  <c r="DY75" i="4"/>
  <c r="EB75" i="4"/>
  <c r="EC75" i="4"/>
  <c r="ED75" i="4"/>
  <c r="D16" i="76"/>
  <c r="C19" i="75"/>
  <c r="F150" i="83"/>
  <c r="J132" i="83"/>
  <c r="I132" i="83"/>
  <c r="D4" i="76"/>
  <c r="C26" i="75"/>
  <c r="M154" i="73" l="1"/>
  <c r="D114" i="84"/>
  <c r="C114" i="84"/>
  <c r="L232" i="73"/>
  <c r="L231" i="73" s="1"/>
  <c r="S15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R325" i="94"/>
  <c r="C5" i="92"/>
  <c r="P5" i="92" s="1"/>
  <c r="C8" i="92"/>
  <c r="P8" i="92" s="1"/>
  <c r="C21" i="92"/>
  <c r="P21" i="92" s="1"/>
  <c r="J139" i="83"/>
  <c r="ED77" i="4"/>
  <c r="EF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R77" i="4"/>
  <c r="EF66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F76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V77" i="4"/>
  <c r="BX77" i="4"/>
  <c r="C10" i="75"/>
  <c r="C8" i="75"/>
  <c r="DI77" i="4"/>
  <c r="AQ77" i="4"/>
  <c r="EC72" i="4"/>
  <c r="F7" i="75"/>
  <c r="F5" i="75" s="1"/>
  <c r="BV72" i="4"/>
  <c r="V156" i="94" s="1"/>
  <c r="CP77" i="4"/>
  <c r="H7" i="75"/>
  <c r="H5" i="75" s="1"/>
  <c r="L176" i="73"/>
  <c r="M176" i="73" s="1"/>
  <c r="AK77" i="4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H27" i="84"/>
  <c r="I27" i="84"/>
  <c r="I33" i="84"/>
  <c r="I50" i="84"/>
  <c r="D97" i="84" s="1"/>
  <c r="I134" i="83"/>
  <c r="I138" i="83" s="1"/>
  <c r="DL77" i="4"/>
  <c r="C13" i="92"/>
  <c r="P13" i="92" s="1"/>
  <c r="C17" i="92"/>
  <c r="P17" i="92" s="1"/>
  <c r="C19" i="92"/>
  <c r="P19" i="92" s="1"/>
  <c r="DV72" i="4"/>
  <c r="DP77" i="4"/>
  <c r="BS72" i="4"/>
  <c r="Y72" i="4"/>
  <c r="V73" i="94" s="1"/>
  <c r="W73" i="94" s="1"/>
  <c r="K7" i="75"/>
  <c r="K5" i="75" s="1"/>
  <c r="D7" i="75"/>
  <c r="DK77" i="4"/>
  <c r="DQ77" i="4"/>
  <c r="L177" i="73"/>
  <c r="M177" i="73" s="1"/>
  <c r="D5" i="75" l="1"/>
  <c r="D34" i="75" s="1"/>
  <c r="R314" i="94"/>
  <c r="G93" i="84"/>
  <c r="D47" i="76"/>
  <c r="C8" i="114"/>
  <c r="C4" i="114"/>
  <c r="D132" i="75"/>
  <c r="D134" i="75" s="1"/>
  <c r="R13" i="85"/>
  <c r="S13" i="85" s="1"/>
  <c r="V290" i="94"/>
  <c r="W290" i="94" s="1"/>
  <c r="E47" i="76"/>
  <c r="H132" i="75"/>
  <c r="H134" i="75" s="1"/>
  <c r="H29" i="84"/>
  <c r="H36" i="84" s="1"/>
  <c r="C96" i="84" s="1"/>
  <c r="V324" i="94"/>
  <c r="W324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T77" i="4"/>
  <c r="L146" i="73"/>
  <c r="M146" i="73" s="1"/>
  <c r="L144" i="73"/>
  <c r="M144" i="73" s="1"/>
  <c r="EC77" i="4"/>
  <c r="DC77" i="4"/>
  <c r="EF71" i="4"/>
  <c r="C99" i="84"/>
  <c r="D99" i="84"/>
  <c r="H75" i="84"/>
  <c r="DV77" i="4"/>
  <c r="DX77" i="4"/>
  <c r="I36" i="84"/>
  <c r="G151" i="83"/>
  <c r="L148" i="73"/>
  <c r="M148" i="73" s="1"/>
  <c r="L205" i="73"/>
  <c r="M205" i="73" s="1"/>
  <c r="AA77" i="4"/>
  <c r="L147" i="73"/>
  <c r="M147" i="73" s="1"/>
  <c r="D135" i="75" l="1"/>
  <c r="M2" i="85"/>
  <c r="S6" i="85"/>
  <c r="D94" i="84"/>
  <c r="G152" i="83"/>
  <c r="C24" i="92"/>
  <c r="P24" i="92" s="1"/>
  <c r="I131" i="83"/>
  <c r="G154" i="83"/>
  <c r="B82" i="83"/>
  <c r="C78" i="83" s="1"/>
  <c r="DJ77" i="4"/>
  <c r="D96" i="84"/>
  <c r="D93" i="84"/>
  <c r="F154" i="83"/>
  <c r="F156" i="83" s="1"/>
  <c r="K107" i="83"/>
  <c r="D98" i="84"/>
  <c r="C98" i="84"/>
  <c r="D95" i="84" l="1"/>
  <c r="D106" i="84" s="1"/>
  <c r="D125" i="84" s="1"/>
  <c r="D151" i="84" s="1"/>
  <c r="C79" i="83"/>
  <c r="G156" i="83"/>
  <c r="C81" i="83"/>
  <c r="C80" i="83"/>
  <c r="K131" i="83" l="1"/>
  <c r="J141" i="83" l="1"/>
  <c r="I141" i="83"/>
  <c r="CC61" i="4" l="1"/>
  <c r="AW77" i="4" l="1"/>
  <c r="G34" i="75" l="1"/>
  <c r="G135" i="75" s="1"/>
  <c r="AL36" i="4" l="1"/>
  <c r="AU61" i="4" l="1"/>
  <c r="AV72" i="4"/>
  <c r="AU72" i="4" l="1"/>
  <c r="AL34" i="4"/>
  <c r="M58" i="87" l="1"/>
  <c r="N58" i="87" s="1"/>
  <c r="V82" i="94"/>
  <c r="CC25" i="4" l="1"/>
  <c r="CC24" i="4"/>
  <c r="CC23" i="4" l="1"/>
  <c r="L75" i="4" l="1"/>
  <c r="DB77" i="4" l="1"/>
  <c r="BY34" i="4" l="1"/>
  <c r="CA77" i="4"/>
  <c r="M120" i="87" l="1"/>
  <c r="N120" i="87" s="1"/>
  <c r="L178" i="73"/>
  <c r="M178" i="73" s="1"/>
  <c r="AX62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M62" i="4" l="1"/>
  <c r="L193" i="73" l="1"/>
  <c r="M193" i="73" s="1"/>
  <c r="W72" i="4" l="1"/>
  <c r="L145" i="73" l="1"/>
  <c r="M145" i="73" s="1"/>
  <c r="M13" i="104" l="1"/>
  <c r="N13" i="104" s="1"/>
  <c r="P16" i="4" l="1"/>
  <c r="EB72" i="4" l="1"/>
  <c r="V287" i="94" l="1"/>
  <c r="W287" i="94" s="1"/>
  <c r="EB77" i="4"/>
  <c r="BS30" i="4" l="1"/>
  <c r="DU72" i="4" l="1"/>
  <c r="V314" i="94" l="1"/>
  <c r="W314" i="94" s="1"/>
  <c r="DU77" i="4"/>
  <c r="M151" i="105" l="1"/>
  <c r="N151" i="105" s="1"/>
  <c r="DG62" i="4" l="1"/>
  <c r="DH72" i="4"/>
  <c r="DH77" i="4" s="1"/>
  <c r="DG72" i="4" l="1"/>
  <c r="V98" i="94" s="1"/>
  <c r="W98" i="94" s="1"/>
  <c r="DG77" i="4" l="1"/>
  <c r="DD26" i="4" l="1"/>
  <c r="DM72" i="4" l="1"/>
  <c r="V293" i="94" s="1"/>
  <c r="W293" i="94" s="1"/>
  <c r="DD64" i="4" l="1"/>
  <c r="DE72" i="4"/>
  <c r="DD18" i="4"/>
  <c r="EH18" i="4" s="1"/>
  <c r="EE18" i="4" l="1"/>
  <c r="DD72" i="4"/>
  <c r="K18" i="4"/>
  <c r="EF18" i="4" l="1"/>
  <c r="AN77" i="4" l="1"/>
  <c r="CE77" i="4" l="1"/>
  <c r="K21" i="117"/>
  <c r="E21" i="117" l="1"/>
  <c r="C21" i="117" l="1"/>
  <c r="Q19" i="85" l="1"/>
  <c r="C5" i="114" l="1"/>
  <c r="R14" i="85"/>
  <c r="R17" i="85" s="1"/>
  <c r="L240" i="73"/>
  <c r="F41" i="103" l="1"/>
  <c r="F40" i="103"/>
  <c r="S14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s="1"/>
  <c r="O27" i="85" l="1"/>
  <c r="N59" i="85"/>
  <c r="O31" i="85" l="1"/>
  <c r="O52" i="85" s="1"/>
  <c r="O57" i="85" s="1"/>
  <c r="P5" i="85" s="1"/>
  <c r="O59" i="85" l="1"/>
  <c r="F45" i="103" l="1"/>
  <c r="E45" i="103" l="1"/>
  <c r="DY72" i="4" l="1"/>
  <c r="V319" i="94" l="1"/>
  <c r="W319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Y77" i="4" l="1"/>
  <c r="DW72" i="4" l="1"/>
  <c r="DW77" i="4" s="1"/>
  <c r="CJ62" i="4" l="1"/>
  <c r="X25" i="4" l="1"/>
  <c r="EI25" i="4" s="1"/>
  <c r="X61" i="4" l="1"/>
  <c r="EI61" i="4" s="1"/>
  <c r="CI72" i="4"/>
  <c r="P27" i="85" l="1"/>
  <c r="AL61" i="4"/>
  <c r="AM72" i="4"/>
  <c r="P31" i="85" l="1"/>
  <c r="P52" i="85" s="1"/>
  <c r="P57" i="85" s="1"/>
  <c r="AL72" i="4"/>
  <c r="P59" i="85" l="1"/>
  <c r="R38" i="85"/>
  <c r="S38" i="85" s="1"/>
  <c r="V70" i="94"/>
  <c r="W70" i="94" s="1"/>
  <c r="AF16" i="4" l="1"/>
  <c r="AX25" i="4" l="1"/>
  <c r="M32" i="125" l="1"/>
  <c r="N32" i="125" s="1"/>
  <c r="CQ35" i="4" l="1"/>
  <c r="CQ54" i="4" s="1"/>
  <c r="CQ58" i="4" s="1"/>
  <c r="CX77" i="4"/>
  <c r="CW35" i="4"/>
  <c r="O18" i="75" l="1"/>
  <c r="O34" i="75" s="1"/>
  <c r="O135" i="75" s="1"/>
  <c r="CW54" i="4"/>
  <c r="CW58" i="4" s="1"/>
  <c r="CW77" i="4" s="1"/>
  <c r="N18" i="75"/>
  <c r="N34" i="75" s="1"/>
  <c r="N135" i="75" s="1"/>
  <c r="L22" i="75"/>
  <c r="M178" i="72"/>
  <c r="CQ77" i="4"/>
  <c r="M161" i="72"/>
  <c r="N161" i="72" s="1"/>
  <c r="L18" i="75" l="1"/>
  <c r="L34" i="75" s="1"/>
  <c r="L135" i="75" s="1"/>
  <c r="C22" i="75"/>
  <c r="C18" i="75" s="1"/>
  <c r="BD34" i="4" l="1"/>
  <c r="M96" i="87" s="1"/>
  <c r="N96" i="87" s="1"/>
  <c r="BF77" i="4"/>
  <c r="BD35" i="4" l="1"/>
  <c r="M73" i="72" s="1"/>
  <c r="N73" i="72" s="1"/>
  <c r="BD30" i="4" l="1"/>
  <c r="M29" i="106" l="1"/>
  <c r="N29" i="106" s="1"/>
  <c r="CJ21" i="4" l="1"/>
  <c r="X21" i="4"/>
  <c r="EI21" i="4" l="1"/>
  <c r="M24" i="104"/>
  <c r="N24" i="104" s="1"/>
  <c r="CG22" i="4" l="1"/>
  <c r="M68" i="105" l="1"/>
  <c r="N68" i="105" s="1"/>
  <c r="M174" i="72" l="1"/>
  <c r="N174" i="72" s="1"/>
  <c r="CT25" i="4" l="1"/>
  <c r="M62" i="125" l="1"/>
  <c r="N62" i="125" s="1"/>
  <c r="CJ25" i="4" l="1"/>
  <c r="M52" i="125" l="1"/>
  <c r="N52" i="125" s="1"/>
  <c r="CV77" i="4" l="1"/>
  <c r="I25" i="117"/>
  <c r="BI77" i="4"/>
  <c r="BU77" i="4" l="1"/>
  <c r="E25" i="117"/>
  <c r="C25" i="117" s="1"/>
  <c r="I15" i="117"/>
  <c r="I5" i="117" s="1"/>
  <c r="I47" i="117" s="1"/>
  <c r="I143" i="117" s="1"/>
  <c r="F23" i="117"/>
  <c r="CI77" i="4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G35" i="4" l="1"/>
  <c r="M108" i="72" l="1"/>
  <c r="N108" i="72" s="1"/>
  <c r="M188" i="87" l="1"/>
  <c r="N188" i="87" s="1"/>
  <c r="BG35" i="4" l="1"/>
  <c r="M76" i="72" l="1"/>
  <c r="N76" i="72" s="1"/>
  <c r="BS34" i="4"/>
  <c r="BG34" i="4"/>
  <c r="M110" i="87" l="1"/>
  <c r="N110" i="87" s="1"/>
  <c r="M101" i="87"/>
  <c r="N101" i="87" s="1"/>
  <c r="CT34" i="4" l="1"/>
  <c r="M164" i="87" l="1"/>
  <c r="N164" i="87" s="1"/>
  <c r="M61" i="106" l="1"/>
  <c r="N61" i="106" s="1"/>
  <c r="CJ30" i="4" l="1"/>
  <c r="M55" i="106" l="1"/>
  <c r="N55" i="106" s="1"/>
  <c r="M55" i="104" l="1"/>
  <c r="N55" i="104" s="1"/>
  <c r="M51" i="105"/>
  <c r="N51" i="105" s="1"/>
  <c r="H34" i="75" l="1"/>
  <c r="H135" i="75" s="1"/>
  <c r="BV45" i="4" l="1"/>
  <c r="M8" i="107" l="1"/>
  <c r="N8" i="107" s="1"/>
  <c r="BD51" i="4" l="1"/>
  <c r="BE77" i="4"/>
  <c r="EE51" i="4" l="1"/>
  <c r="BD54" i="4"/>
  <c r="K51" i="4"/>
  <c r="BD58" i="4" l="1"/>
  <c r="BD77" i="4" s="1"/>
  <c r="D163" i="131"/>
  <c r="E163" i="131" s="1"/>
  <c r="F163" i="131" s="1"/>
  <c r="G163" i="131" s="1"/>
  <c r="H163" i="131" s="1"/>
  <c r="I163" i="131" s="1"/>
  <c r="EH51" i="4"/>
  <c r="DX50" i="130"/>
  <c r="L188" i="73"/>
  <c r="M188" i="73" s="1"/>
  <c r="EF51" i="4"/>
  <c r="M5" i="107" l="1"/>
  <c r="N5" i="107" s="1"/>
  <c r="K14" i="105" l="1"/>
  <c r="M14" i="105" l="1"/>
  <c r="N14" i="105" s="1"/>
  <c r="L52" i="130"/>
  <c r="L55" i="130" s="1"/>
  <c r="L74" i="130" s="1"/>
  <c r="DV42" i="130" l="1"/>
  <c r="E42" i="130"/>
  <c r="DW42" i="130" l="1"/>
  <c r="AR59" i="130" l="1"/>
  <c r="BA62" i="4"/>
  <c r="BA61" i="4" l="1"/>
  <c r="BB72" i="4"/>
  <c r="AS69" i="130"/>
  <c r="AS74" i="130" s="1"/>
  <c r="AR58" i="130"/>
  <c r="AR69" i="130" l="1"/>
  <c r="AR74" i="130" s="1"/>
  <c r="BA72" i="4"/>
  <c r="R43" i="85" l="1"/>
  <c r="S43" i="85" s="1"/>
  <c r="V111" i="94"/>
  <c r="W111" i="94" s="1"/>
  <c r="K34" i="75" l="1"/>
  <c r="K135" i="75" s="1"/>
  <c r="K12" i="107" l="1"/>
  <c r="L12" i="107" s="1"/>
  <c r="BP45" i="4" l="1"/>
  <c r="EE45" i="4" s="1"/>
  <c r="BG44" i="130"/>
  <c r="BH52" i="130"/>
  <c r="BH55" i="130" s="1"/>
  <c r="BH74" i="130" s="1"/>
  <c r="E44" i="130" l="1"/>
  <c r="DV44" i="130"/>
  <c r="BG52" i="130"/>
  <c r="BG55" i="130" s="1"/>
  <c r="BG74" i="130" s="1"/>
  <c r="M7" i="107"/>
  <c r="N7" i="107" s="1"/>
  <c r="K45" i="4"/>
  <c r="D157" i="131" l="1"/>
  <c r="E157" i="131" s="1"/>
  <c r="EH45" i="4"/>
  <c r="DW44" i="130"/>
  <c r="EF45" i="4"/>
  <c r="L182" i="73"/>
  <c r="M182" i="73" s="1"/>
  <c r="K13" i="107"/>
  <c r="K14" i="107" s="1"/>
  <c r="DX44" i="130"/>
  <c r="F157" i="131" l="1"/>
  <c r="G157" i="131" l="1"/>
  <c r="H157" i="131" l="1"/>
  <c r="I157" i="131" l="1"/>
  <c r="X72" i="4" l="1"/>
  <c r="EI72" i="4" l="1"/>
  <c r="V15" i="94"/>
  <c r="E167" i="131"/>
  <c r="E198" i="131" s="1"/>
  <c r="F167" i="131" l="1"/>
  <c r="F198" i="131" s="1"/>
  <c r="G167" i="131" l="1"/>
  <c r="G198" i="131" s="1"/>
  <c r="I167" i="131" l="1"/>
  <c r="I198" i="131" s="1"/>
  <c r="H167" i="131"/>
  <c r="H198" i="131" s="1"/>
  <c r="L17" i="123" l="1"/>
  <c r="AC24" i="130" l="1"/>
  <c r="E24" i="130" l="1"/>
  <c r="DV24" i="130"/>
  <c r="DW24" i="130" l="1"/>
  <c r="E48" i="130" l="1"/>
  <c r="DV48" i="130"/>
  <c r="K52" i="130"/>
  <c r="K55" i="130" s="1"/>
  <c r="K74" i="130" s="1"/>
  <c r="DW48" i="130" l="1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L238" i="73" l="1"/>
  <c r="E40" i="103"/>
  <c r="C7" i="114"/>
  <c r="C9" i="114" s="1"/>
  <c r="L137" i="73"/>
  <c r="L138" i="73" s="1"/>
  <c r="M138" i="73" l="1"/>
  <c r="M137" i="73"/>
  <c r="J39" i="103"/>
  <c r="E32" i="14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K97" i="72" l="1"/>
  <c r="L97" i="72" s="1"/>
  <c r="CJ34" i="4" l="1"/>
  <c r="CA34" i="130"/>
  <c r="M135" i="87" l="1"/>
  <c r="N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CC35" i="4" l="1"/>
  <c r="CC54" i="4" s="1"/>
  <c r="CC58" i="4" s="1"/>
  <c r="BT35" i="130"/>
  <c r="BT52" i="130" s="1"/>
  <c r="BT55" i="130" s="1"/>
  <c r="BU52" i="130"/>
  <c r="BU55" i="130" s="1"/>
  <c r="M97" i="72" l="1"/>
  <c r="N97" i="72" s="1"/>
  <c r="AC35" i="130" l="1"/>
  <c r="AC52" i="130" s="1"/>
  <c r="AC55" i="130" s="1"/>
  <c r="AC74" i="130" s="1"/>
  <c r="AD52" i="130"/>
  <c r="AD55" i="130" s="1"/>
  <c r="AD74" i="130" s="1"/>
  <c r="CA35" i="130" l="1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AF52" i="130" l="1"/>
  <c r="AF55" i="130" s="1"/>
  <c r="E35" i="130"/>
  <c r="DV35" i="130"/>
  <c r="DW35" i="130" l="1"/>
  <c r="AX61" i="4" l="1"/>
  <c r="AX72" i="4" s="1"/>
  <c r="AY72" i="4"/>
  <c r="AP69" i="130"/>
  <c r="AP74" i="130" s="1"/>
  <c r="AO58" i="130"/>
  <c r="AO69" i="130" s="1"/>
  <c r="AO74" i="130" s="1"/>
  <c r="R42" i="85" l="1"/>
  <c r="S42" i="85" s="1"/>
  <c r="V106" i="94"/>
  <c r="O135" i="94" l="1"/>
  <c r="P135" i="94" s="1"/>
  <c r="BY61" i="4" l="1"/>
  <c r="BY72" i="4" s="1"/>
  <c r="BZ72" i="4"/>
  <c r="BQ69" i="130"/>
  <c r="BQ74" i="130" s="1"/>
  <c r="BP58" i="130"/>
  <c r="BP69" i="130" s="1"/>
  <c r="BP74" i="130" s="1"/>
  <c r="AX59" i="130"/>
  <c r="AY69" i="130"/>
  <c r="AY74" i="130" s="1"/>
  <c r="BG62" i="4"/>
  <c r="BH72" i="4"/>
  <c r="BT59" i="130"/>
  <c r="BT69" i="130" s="1"/>
  <c r="BT74" i="130" s="1"/>
  <c r="BU69" i="130"/>
  <c r="BU74" i="130" s="1"/>
  <c r="V167" i="94" l="1"/>
  <c r="W167" i="94" s="1"/>
  <c r="BG72" i="4"/>
  <c r="AX69" i="130"/>
  <c r="AX74" i="130" s="1"/>
  <c r="R44" i="85" l="1"/>
  <c r="S44" i="85" s="1"/>
  <c r="V135" i="94"/>
  <c r="W135" i="94" s="1"/>
  <c r="CK59" i="130" l="1"/>
  <c r="CT62" i="4"/>
  <c r="CK69" i="130" l="1"/>
  <c r="CK74" i="130" s="1"/>
  <c r="E59" i="130"/>
  <c r="DV59" i="130"/>
  <c r="DW59" i="130" s="1"/>
  <c r="CN61" i="4"/>
  <c r="CN72" i="4" s="1"/>
  <c r="CO72" i="4"/>
  <c r="O281" i="94"/>
  <c r="P281" i="94" s="1"/>
  <c r="CE58" i="130"/>
  <c r="CE69" i="130" s="1"/>
  <c r="CE74" i="130" s="1"/>
  <c r="CF69" i="130"/>
  <c r="CF74" i="130" s="1"/>
  <c r="R49" i="85" l="1"/>
  <c r="S49" i="85" s="1"/>
  <c r="V281" i="94"/>
  <c r="W281" i="94" s="1"/>
  <c r="CB69" i="130"/>
  <c r="CA58" i="130"/>
  <c r="CA69" i="130" s="1"/>
  <c r="CJ22" i="4" l="1"/>
  <c r="AF58" i="130"/>
  <c r="AG69" i="130"/>
  <c r="AG74" i="130" s="1"/>
  <c r="CA22" i="130" l="1"/>
  <c r="CB52" i="130"/>
  <c r="CB55" i="130" s="1"/>
  <c r="CB74" i="130" s="1"/>
  <c r="M113" i="105"/>
  <c r="N113" i="105" s="1"/>
  <c r="AF69" i="130"/>
  <c r="AF74" i="130" s="1"/>
  <c r="E58" i="130"/>
  <c r="DV58" i="130"/>
  <c r="CA52" i="130" l="1"/>
  <c r="CA55" i="130" s="1"/>
  <c r="CA74" i="130" s="1"/>
  <c r="DV22" i="130"/>
  <c r="E22" i="130"/>
  <c r="DW58" i="130"/>
  <c r="DW22" i="130" l="1"/>
  <c r="E52" i="130"/>
  <c r="E55" i="130" s="1"/>
  <c r="J75" i="130" s="1"/>
  <c r="J67" i="130" s="1"/>
  <c r="DV67" i="130" s="1"/>
  <c r="J69" i="130" l="1"/>
  <c r="J74" i="130" s="1"/>
  <c r="E67" i="130"/>
  <c r="DW67" i="130" s="1"/>
  <c r="E69" i="130" l="1"/>
  <c r="E74" i="130" s="1"/>
  <c r="E75" i="130" s="1"/>
  <c r="BG24" i="4" l="1"/>
  <c r="BG25" i="4"/>
  <c r="M38" i="125" l="1"/>
  <c r="N38" i="125" s="1"/>
  <c r="M29" i="123"/>
  <c r="N29" i="123" s="1"/>
  <c r="BG23" i="4"/>
  <c r="BG54" i="4" s="1"/>
  <c r="BG58" i="4" s="1"/>
  <c r="BH77" i="4"/>
  <c r="BG77" i="4" l="1"/>
  <c r="O144" i="94" l="1"/>
  <c r="P144" i="94" s="1"/>
  <c r="BM63" i="4" l="1"/>
  <c r="BN72" i="4"/>
  <c r="BM72" i="4" l="1"/>
  <c r="V144" i="94" s="1"/>
  <c r="W144" i="94" s="1"/>
  <c r="EJ38" i="4" l="1"/>
  <c r="X38" i="4" l="1"/>
  <c r="BO77" i="4"/>
  <c r="O20" i="94"/>
  <c r="P20" i="94" s="1"/>
  <c r="EI38" i="4" l="1"/>
  <c r="AB72" i="4" l="1"/>
  <c r="V20" i="94" l="1"/>
  <c r="W20" i="94" s="1"/>
  <c r="BM38" i="4" l="1"/>
  <c r="L26" i="123" l="1"/>
  <c r="L36" i="123" l="1"/>
  <c r="O277" i="94" l="1"/>
  <c r="P277" i="94" s="1"/>
  <c r="CU72" i="4" l="1"/>
  <c r="CT61" i="4"/>
  <c r="CT72" i="4" l="1"/>
  <c r="R48" i="85" l="1"/>
  <c r="S48" i="85" s="1"/>
  <c r="V277" i="94"/>
  <c r="W277" i="94" s="1"/>
  <c r="BJ61" i="4" l="1"/>
  <c r="BK72" i="4"/>
  <c r="BK77" i="4" s="1"/>
  <c r="O140" i="94"/>
  <c r="P140" i="94" s="1"/>
  <c r="BJ72" i="4" l="1"/>
  <c r="BJ77" i="4" l="1"/>
  <c r="V140" i="94"/>
  <c r="W140" i="94" s="1"/>
  <c r="O15" i="94" l="1"/>
  <c r="P15" i="94" s="1"/>
  <c r="I9" i="75"/>
  <c r="E9" i="75" l="1"/>
  <c r="I7" i="75"/>
  <c r="I5" i="75" s="1"/>
  <c r="I34" i="75" s="1"/>
  <c r="I135" i="75" s="1"/>
  <c r="W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CJ63" i="4" l="1"/>
  <c r="K88" i="72" l="1"/>
  <c r="L88" i="72" s="1"/>
  <c r="K23" i="106" l="1"/>
  <c r="L23" i="106" s="1"/>
  <c r="AX30" i="4" l="1"/>
  <c r="M23" i="106" l="1"/>
  <c r="N23" i="106" s="1"/>
  <c r="K165" i="72" l="1"/>
  <c r="L165" i="72" s="1"/>
  <c r="K153" i="72"/>
  <c r="L153" i="72" s="1"/>
  <c r="K139" i="87"/>
  <c r="L139" i="87" s="1"/>
  <c r="K92" i="72"/>
  <c r="L92" i="72" s="1"/>
  <c r="K87" i="87"/>
  <c r="L87" i="87" s="1"/>
  <c r="K19" i="117" l="1"/>
  <c r="AZ77" i="4"/>
  <c r="E19" i="117" l="1"/>
  <c r="C19" i="117" l="1"/>
  <c r="AX34" i="4" l="1"/>
  <c r="CN35" i="4"/>
  <c r="M153" i="72" s="1"/>
  <c r="N153" i="72" s="1"/>
  <c r="CT35" i="4" l="1"/>
  <c r="CT54" i="4" s="1"/>
  <c r="CT58" i="4" s="1"/>
  <c r="CU77" i="4"/>
  <c r="CO77" i="4"/>
  <c r="CN34" i="4"/>
  <c r="CN54" i="4" s="1"/>
  <c r="CN58" i="4" s="1"/>
  <c r="BV35" i="4"/>
  <c r="BV54" i="4" s="1"/>
  <c r="BV58" i="4" s="1"/>
  <c r="BW77" i="4"/>
  <c r="BS35" i="4"/>
  <c r="BS54" i="4" s="1"/>
  <c r="BS58" i="4" s="1"/>
  <c r="BT77" i="4"/>
  <c r="M87" i="87"/>
  <c r="N87" i="87" s="1"/>
  <c r="M165" i="72" l="1"/>
  <c r="N165" i="72" s="1"/>
  <c r="CT77" i="4"/>
  <c r="M139" i="87"/>
  <c r="N139" i="87" s="1"/>
  <c r="CN77" i="4"/>
  <c r="M88" i="72"/>
  <c r="N88" i="72" s="1"/>
  <c r="BV77" i="4"/>
  <c r="M92" i="72"/>
  <c r="N92" i="72" s="1"/>
  <c r="BS77" i="4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W156" i="94" l="1"/>
  <c r="K149" i="72" l="1"/>
  <c r="L149" i="72" s="1"/>
  <c r="K24" i="117" l="1"/>
  <c r="CL77" i="4"/>
  <c r="X35" i="4"/>
  <c r="EJ35" i="4"/>
  <c r="CJ35" i="4"/>
  <c r="CJ54" i="4" s="1"/>
  <c r="CJ58" i="4" s="1"/>
  <c r="M149" i="72" l="1"/>
  <c r="N149" i="72" s="1"/>
  <c r="EI35" i="4"/>
  <c r="E24" i="117"/>
  <c r="K15" i="117"/>
  <c r="K5" i="117" s="1"/>
  <c r="K47" i="117" s="1"/>
  <c r="K143" i="117" s="1"/>
  <c r="C24" i="117" l="1"/>
  <c r="O61" i="94" l="1"/>
  <c r="P61" i="94" s="1"/>
  <c r="O206" i="94" l="1"/>
  <c r="P206" i="94" s="1"/>
  <c r="O201" i="94" l="1"/>
  <c r="P201" i="94" s="1"/>
  <c r="O41" i="94" l="1"/>
  <c r="P41" i="94" s="1"/>
  <c r="AP62" i="4"/>
  <c r="AO62" i="4" l="1"/>
  <c r="O190" i="94" l="1"/>
  <c r="P190" i="94" s="1"/>
  <c r="O189" i="94" l="1"/>
  <c r="P189" i="94" s="1"/>
  <c r="O256" i="94" l="1"/>
  <c r="P256" i="94" s="1"/>
  <c r="CJ61" i="4" l="1"/>
  <c r="CK72" i="4"/>
  <c r="CK77" i="4" s="1"/>
  <c r="CJ72" i="4" l="1"/>
  <c r="V256" i="94" l="1"/>
  <c r="W256" i="94" s="1"/>
  <c r="CJ77" i="4"/>
  <c r="R46" i="85"/>
  <c r="S46" i="85" s="1"/>
  <c r="P48" i="4" l="1"/>
  <c r="EE48" i="4" l="1"/>
  <c r="K48" i="4"/>
  <c r="D160" i="131" l="1"/>
  <c r="EH48" i="4"/>
  <c r="DX47" i="130"/>
  <c r="L185" i="73"/>
  <c r="M185" i="73" s="1"/>
  <c r="EF48" i="4"/>
  <c r="E160" i="131" l="1"/>
  <c r="F160" i="131" l="1"/>
  <c r="G160" i="131" l="1"/>
  <c r="H160" i="131" l="1"/>
  <c r="I160" i="131" l="1"/>
  <c r="L10" i="138" l="1"/>
  <c r="L9" i="139" l="1"/>
  <c r="K11" i="139" l="1"/>
  <c r="L11" i="139" s="1"/>
  <c r="P87" i="94"/>
  <c r="K74" i="4" l="1"/>
  <c r="EE74" i="4"/>
  <c r="M75" i="4"/>
  <c r="EF74" i="4" l="1"/>
  <c r="L9" i="138"/>
  <c r="EE75" i="4"/>
  <c r="M77" i="4"/>
  <c r="K75" i="4"/>
  <c r="L210" i="73"/>
  <c r="M210" i="73" s="1"/>
  <c r="EH74" i="4"/>
  <c r="EH75" i="4" s="1"/>
  <c r="D183" i="131"/>
  <c r="K12" i="139"/>
  <c r="K13" i="139" s="1"/>
  <c r="EF75" i="4" l="1"/>
  <c r="K11" i="138"/>
  <c r="L11" i="138" s="1"/>
  <c r="D194" i="131"/>
  <c r="D214" i="131"/>
  <c r="L222" i="73"/>
  <c r="L245" i="73"/>
  <c r="R53" i="85"/>
  <c r="S53" i="85" s="1"/>
  <c r="K72" i="104" l="1"/>
  <c r="L72" i="104" s="1"/>
  <c r="K74" i="104" l="1"/>
  <c r="L74" i="104" s="1"/>
  <c r="BN21" i="4" l="1"/>
  <c r="BM21" i="4" l="1"/>
  <c r="M74" i="104" l="1"/>
  <c r="N74" i="104" s="1"/>
  <c r="K98" i="72" l="1"/>
  <c r="L98" i="72" l="1"/>
  <c r="K100" i="72"/>
  <c r="L100" i="72" s="1"/>
  <c r="K121" i="87" l="1"/>
  <c r="K167" i="72"/>
  <c r="K203" i="87"/>
  <c r="L121" i="87" l="1"/>
  <c r="K123" i="87"/>
  <c r="L123" i="87" s="1"/>
  <c r="L167" i="72"/>
  <c r="K170" i="72"/>
  <c r="L203" i="87"/>
  <c r="K208" i="87"/>
  <c r="L170" i="72" l="1"/>
  <c r="L208" i="87"/>
  <c r="BN34" i="4" l="1"/>
  <c r="BM34" i="4" s="1"/>
  <c r="BN35" i="4" l="1"/>
  <c r="BM35" i="4" s="1"/>
  <c r="M208" i="87"/>
  <c r="N208" i="87" s="1"/>
  <c r="M170" i="72" l="1"/>
  <c r="N170" i="72" s="1"/>
  <c r="BZ35" i="4" l="1"/>
  <c r="BZ54" i="4" s="1"/>
  <c r="BZ58" i="4" s="1"/>
  <c r="CB34" i="4"/>
  <c r="CB54" i="4" s="1"/>
  <c r="CB58" i="4" s="1"/>
  <c r="BZ77" i="4" l="1"/>
  <c r="BY35" i="4"/>
  <c r="BY54" i="4" s="1"/>
  <c r="BY58" i="4" s="1"/>
  <c r="M123" i="87"/>
  <c r="N123" i="87" s="1"/>
  <c r="CB77" i="4"/>
  <c r="M100" i="72" l="1"/>
  <c r="N100" i="72" s="1"/>
  <c r="BY77" i="4"/>
  <c r="BN24" i="4" l="1"/>
  <c r="BM24" i="4" l="1"/>
  <c r="BN25" i="4"/>
  <c r="BM25" i="4" s="1"/>
  <c r="BM54" i="4" l="1"/>
  <c r="BN54" i="4"/>
  <c r="M44" i="125"/>
  <c r="N44" i="125" s="1"/>
  <c r="M35" i="123"/>
  <c r="N35" i="123" s="1"/>
  <c r="BN58" i="4" l="1"/>
  <c r="BN77" i="4" s="1"/>
  <c r="R13" i="4"/>
  <c r="R14" i="4"/>
  <c r="K5" i="130" s="1"/>
  <c r="R16" i="4" l="1"/>
  <c r="S14" i="4"/>
  <c r="L5" i="130" s="1"/>
  <c r="W14" i="4"/>
  <c r="P5" i="130" s="1"/>
  <c r="U14" i="4"/>
  <c r="BM14" i="4"/>
  <c r="BD5" i="130" s="1"/>
  <c r="AL14" i="4"/>
  <c r="AC5" i="130" s="1"/>
  <c r="AG14" i="4"/>
  <c r="X5" i="130" s="1"/>
  <c r="AC14" i="4"/>
  <c r="Y14" i="4"/>
  <c r="R5" i="130" s="1"/>
  <c r="AR14" i="4"/>
  <c r="AI5" i="130" s="1"/>
  <c r="AB14" i="4"/>
  <c r="T5" i="130" s="1"/>
  <c r="S13" i="4"/>
  <c r="W13" i="4"/>
  <c r="BM13" i="4"/>
  <c r="AL13" i="4"/>
  <c r="X13" i="4"/>
  <c r="AG13" i="4"/>
  <c r="AC13" i="4"/>
  <c r="Y13" i="4"/>
  <c r="AR13" i="4"/>
  <c r="AB13" i="4"/>
  <c r="N5" i="130" l="1"/>
  <c r="T14" i="4"/>
  <c r="M5" i="130" s="1"/>
  <c r="AB16" i="4"/>
  <c r="AR16" i="4"/>
  <c r="EI13" i="4"/>
  <c r="X16" i="4"/>
  <c r="U13" i="4"/>
  <c r="T13" i="4" s="1"/>
  <c r="W16" i="4"/>
  <c r="U5" i="130"/>
  <c r="K14" i="4" l="1"/>
  <c r="W58" i="4"/>
  <c r="W77" i="4" s="1"/>
  <c r="EE14" i="4"/>
  <c r="EF14" i="4" s="1"/>
  <c r="EE13" i="4"/>
  <c r="K13" i="4"/>
  <c r="L149" i="73" s="1"/>
  <c r="M149" i="73" s="1"/>
  <c r="EI16" i="4"/>
  <c r="EH14" i="4"/>
  <c r="D126" i="131"/>
  <c r="E126" i="131" s="1"/>
  <c r="F126" i="131" s="1"/>
  <c r="G126" i="131" s="1"/>
  <c r="H126" i="131" s="1"/>
  <c r="I126" i="131" s="1"/>
  <c r="DX14" i="130"/>
  <c r="L150" i="73"/>
  <c r="M150" i="73" s="1"/>
  <c r="U15" i="4"/>
  <c r="EF13" i="4" l="1"/>
  <c r="DX13" i="130"/>
  <c r="EH13" i="4"/>
  <c r="D125" i="131"/>
  <c r="E125" i="131" s="1"/>
  <c r="T15" i="4"/>
  <c r="T16" i="4" s="1"/>
  <c r="U16" i="4"/>
  <c r="F125" i="131" l="1"/>
  <c r="S15" i="4" l="1"/>
  <c r="G125" i="131"/>
  <c r="S16" i="4" l="1"/>
  <c r="H125" i="131"/>
  <c r="Y15" i="4"/>
  <c r="Y16" i="4" s="1"/>
  <c r="AC15" i="4"/>
  <c r="AG15" i="4"/>
  <c r="AG16" i="4" s="1"/>
  <c r="AL15" i="4"/>
  <c r="AL16" i="4" s="1"/>
  <c r="S58" i="4" l="1"/>
  <c r="S77" i="4" s="1"/>
  <c r="BM15" i="4"/>
  <c r="BM16" i="4" s="1"/>
  <c r="EE15" i="4"/>
  <c r="AC16" i="4"/>
  <c r="I125" i="131"/>
  <c r="BM58" i="4" l="1"/>
  <c r="BM77" i="4" s="1"/>
  <c r="K15" i="4"/>
  <c r="D127" i="131" s="1"/>
  <c r="K41" i="87"/>
  <c r="L41" i="87" s="1"/>
  <c r="EF15" i="4" l="1"/>
  <c r="DX15" i="130"/>
  <c r="K16" i="4"/>
  <c r="R20" i="85" s="1"/>
  <c r="S20" i="85" s="1"/>
  <c r="L151" i="73"/>
  <c r="M151" i="73" s="1"/>
  <c r="EH15" i="4"/>
  <c r="EH16" i="4" s="1"/>
  <c r="L143" i="73"/>
  <c r="M143" i="73" s="1"/>
  <c r="E127" i="131"/>
  <c r="D119" i="131"/>
  <c r="F127" i="131" l="1"/>
  <c r="E119" i="131"/>
  <c r="G127" i="131" l="1"/>
  <c r="F119" i="131"/>
  <c r="H127" i="131" l="1"/>
  <c r="G119" i="131"/>
  <c r="O46" i="94" l="1"/>
  <c r="I127" i="131"/>
  <c r="I119" i="131" s="1"/>
  <c r="H119" i="131"/>
  <c r="P46" i="94" l="1"/>
  <c r="O58" i="94" l="1"/>
  <c r="P58" i="94" s="1"/>
  <c r="O44" i="94" l="1"/>
  <c r="P44" i="94" s="1"/>
  <c r="AJ61" i="4" l="1"/>
  <c r="O42" i="94" l="1"/>
  <c r="AJ62" i="4"/>
  <c r="AI62" i="4" s="1"/>
  <c r="AI61" i="4"/>
  <c r="AP61" i="4"/>
  <c r="AO61" i="4" s="1"/>
  <c r="AJ72" i="4" l="1"/>
  <c r="O257" i="94"/>
  <c r="DA61" i="4"/>
  <c r="P42" i="94"/>
  <c r="O47" i="94"/>
  <c r="P47" i="94" s="1"/>
  <c r="AI72" i="4"/>
  <c r="CZ61" i="4" l="1"/>
  <c r="CZ72" i="4" s="1"/>
  <c r="DA72" i="4"/>
  <c r="P257" i="94"/>
  <c r="O259" i="94"/>
  <c r="P259" i="94" s="1"/>
  <c r="R35" i="85"/>
  <c r="S35" i="85" s="1"/>
  <c r="V47" i="94"/>
  <c r="W47" i="94" s="1"/>
  <c r="R47" i="85" l="1"/>
  <c r="S47" i="85" s="1"/>
  <c r="V259" i="94"/>
  <c r="W259" i="94" s="1"/>
  <c r="O29" i="94" l="1"/>
  <c r="P29" i="94" s="1"/>
  <c r="U63" i="4"/>
  <c r="T63" i="4" s="1"/>
  <c r="K11" i="72" l="1"/>
  <c r="L11" i="72" l="1"/>
  <c r="K13" i="72"/>
  <c r="L13" i="72" s="1"/>
  <c r="K40" i="87"/>
  <c r="L40" i="87" s="1"/>
  <c r="K38" i="104"/>
  <c r="L38" i="104" s="1"/>
  <c r="O27" i="94" l="1"/>
  <c r="U60" i="4"/>
  <c r="T60" i="4" l="1"/>
  <c r="P27" i="94"/>
  <c r="K60" i="4" l="1"/>
  <c r="EE60" i="4"/>
  <c r="EF60" i="4" s="1"/>
  <c r="Z34" i="4"/>
  <c r="Z54" i="4" s="1"/>
  <c r="Z58" i="4" s="1"/>
  <c r="K24" i="87"/>
  <c r="D168" i="131" l="1"/>
  <c r="EH60" i="4"/>
  <c r="DX57" i="130"/>
  <c r="L195" i="73"/>
  <c r="L24" i="87"/>
  <c r="K26" i="87"/>
  <c r="L26" i="87" s="1"/>
  <c r="Z77" i="4"/>
  <c r="M26" i="87"/>
  <c r="M195" i="73" l="1"/>
  <c r="N26" i="87"/>
  <c r="K50" i="87"/>
  <c r="L50" i="87" s="1"/>
  <c r="K48" i="87" l="1"/>
  <c r="L48" i="87" s="1"/>
  <c r="K49" i="87"/>
  <c r="L49" i="87" s="1"/>
  <c r="K8" i="105" l="1"/>
  <c r="L8" i="105" l="1"/>
  <c r="K10" i="105"/>
  <c r="L10" i="105" s="1"/>
  <c r="K15" i="105"/>
  <c r="L15" i="105" l="1"/>
  <c r="K18" i="105"/>
  <c r="L18" i="105" s="1"/>
  <c r="K26" i="105"/>
  <c r="L26" i="105" l="1"/>
  <c r="K27" i="105"/>
  <c r="L27" i="105" s="1"/>
  <c r="K68" i="104"/>
  <c r="L68" i="104" l="1"/>
  <c r="K70" i="104"/>
  <c r="L70" i="104" s="1"/>
  <c r="K57" i="105" l="1"/>
  <c r="L57" i="105" l="1"/>
  <c r="K25" i="104" l="1"/>
  <c r="L25" i="104" s="1"/>
  <c r="K46" i="87" l="1"/>
  <c r="K9" i="87"/>
  <c r="L9" i="87" l="1"/>
  <c r="K10" i="87"/>
  <c r="L10" i="87" s="1"/>
  <c r="L46" i="87"/>
  <c r="K39" i="105"/>
  <c r="L39" i="105" s="1"/>
  <c r="K40" i="105"/>
  <c r="L40" i="105" s="1"/>
  <c r="K8" i="106" l="1"/>
  <c r="L8" i="106" l="1"/>
  <c r="K10" i="106"/>
  <c r="L10" i="106" s="1"/>
  <c r="R30" i="4"/>
  <c r="M10" i="106" s="1"/>
  <c r="N10" i="106" s="1"/>
  <c r="K20" i="127" l="1"/>
  <c r="K14" i="127"/>
  <c r="L20" i="127" l="1"/>
  <c r="K22" i="127"/>
  <c r="L22" i="127" s="1"/>
  <c r="L14" i="127"/>
  <c r="K16" i="127"/>
  <c r="L16" i="127" s="1"/>
  <c r="K14" i="104"/>
  <c r="L14" i="104" l="1"/>
  <c r="K50" i="72"/>
  <c r="K49" i="72"/>
  <c r="L49" i="72" s="1"/>
  <c r="K68" i="87"/>
  <c r="K56" i="105"/>
  <c r="K12" i="137"/>
  <c r="K44" i="104"/>
  <c r="K43" i="104"/>
  <c r="K51" i="87"/>
  <c r="L51" i="87" s="1"/>
  <c r="K47" i="87"/>
  <c r="K15" i="106"/>
  <c r="L15" i="106" s="1"/>
  <c r="K14" i="106"/>
  <c r="K38" i="105"/>
  <c r="K43" i="87"/>
  <c r="K19" i="72"/>
  <c r="K12" i="106"/>
  <c r="L12" i="106" s="1"/>
  <c r="K11" i="106"/>
  <c r="K33" i="105"/>
  <c r="L33" i="105" s="1"/>
  <c r="K32" i="105"/>
  <c r="K37" i="104"/>
  <c r="L37" i="104" s="1"/>
  <c r="K36" i="104"/>
  <c r="K35" i="87"/>
  <c r="L35" i="87" s="1"/>
  <c r="K34" i="87"/>
  <c r="K28" i="105"/>
  <c r="K11" i="127"/>
  <c r="K15" i="72"/>
  <c r="L15" i="72" s="1"/>
  <c r="K14" i="72"/>
  <c r="K26" i="104"/>
  <c r="K19" i="105"/>
  <c r="K5" i="127"/>
  <c r="K16" i="87"/>
  <c r="K15" i="104"/>
  <c r="L15" i="104" s="1"/>
  <c r="K8" i="104"/>
  <c r="O23" i="94" l="1"/>
  <c r="P23" i="94" s="1"/>
  <c r="O22" i="94"/>
  <c r="L5" i="127"/>
  <c r="K7" i="127"/>
  <c r="L7" i="127" s="1"/>
  <c r="L16" i="87"/>
  <c r="K20" i="87"/>
  <c r="L20" i="87" s="1"/>
  <c r="K17" i="104"/>
  <c r="L17" i="104" s="1"/>
  <c r="L8" i="104"/>
  <c r="K10" i="104"/>
  <c r="L10" i="104" s="1"/>
  <c r="L50" i="72"/>
  <c r="L68" i="87"/>
  <c r="K70" i="87"/>
  <c r="L70" i="87" s="1"/>
  <c r="L12" i="137"/>
  <c r="K14" i="137"/>
  <c r="L56" i="105"/>
  <c r="K60" i="105"/>
  <c r="L60" i="105" s="1"/>
  <c r="L11" i="127"/>
  <c r="K13" i="127"/>
  <c r="L13" i="127" s="1"/>
  <c r="L14" i="72"/>
  <c r="K16" i="72"/>
  <c r="L16" i="72" s="1"/>
  <c r="L26" i="104"/>
  <c r="K30" i="104"/>
  <c r="L30" i="104" s="1"/>
  <c r="L19" i="105"/>
  <c r="K21" i="105"/>
  <c r="L21" i="105" s="1"/>
  <c r="L47" i="87"/>
  <c r="K52" i="87"/>
  <c r="L52" i="87" s="1"/>
  <c r="L44" i="104"/>
  <c r="N44" i="104"/>
  <c r="L14" i="106"/>
  <c r="K17" i="106"/>
  <c r="L17" i="106" s="1"/>
  <c r="L38" i="105"/>
  <c r="K41" i="105"/>
  <c r="L41" i="105" s="1"/>
  <c r="L43" i="104"/>
  <c r="K46" i="104"/>
  <c r="L46" i="104" s="1"/>
  <c r="L43" i="87"/>
  <c r="K45" i="87"/>
  <c r="L45" i="87" s="1"/>
  <c r="L34" i="87"/>
  <c r="K36" i="87"/>
  <c r="L36" i="87" s="1"/>
  <c r="L28" i="105"/>
  <c r="K30" i="105"/>
  <c r="L30" i="105" s="1"/>
  <c r="L19" i="72"/>
  <c r="K22" i="72"/>
  <c r="K39" i="87"/>
  <c r="L11" i="106"/>
  <c r="K13" i="106"/>
  <c r="L32" i="105"/>
  <c r="K35" i="105"/>
  <c r="L36" i="104"/>
  <c r="K40" i="104"/>
  <c r="P22" i="94" l="1"/>
  <c r="O30" i="94"/>
  <c r="P30" i="94" s="1"/>
  <c r="L14" i="137"/>
  <c r="L13" i="106"/>
  <c r="L39" i="87"/>
  <c r="K42" i="87"/>
  <c r="L22" i="72"/>
  <c r="L35" i="105"/>
  <c r="L40" i="104"/>
  <c r="AH49" i="4"/>
  <c r="L42" i="87" l="1"/>
  <c r="AC36" i="4" l="1"/>
  <c r="M16" i="127" s="1"/>
  <c r="N16" i="127" s="1"/>
  <c r="R26" i="4" l="1"/>
  <c r="AF32" i="4"/>
  <c r="AR36" i="4" l="1"/>
  <c r="M22" i="127" s="1"/>
  <c r="N22" i="127" s="1"/>
  <c r="U64" i="4" l="1"/>
  <c r="T64" i="4" l="1"/>
  <c r="AR38" i="4"/>
  <c r="K64" i="4" l="1"/>
  <c r="EE64" i="4"/>
  <c r="AR29" i="4"/>
  <c r="AF47" i="4"/>
  <c r="AH21" i="4"/>
  <c r="EF64" i="4" l="1"/>
  <c r="EH64" i="4"/>
  <c r="L199" i="73"/>
  <c r="M199" i="73" s="1"/>
  <c r="D172" i="131"/>
  <c r="DX61" i="130"/>
  <c r="M14" i="137"/>
  <c r="N14" i="137" s="1"/>
  <c r="M46" i="104"/>
  <c r="N46" i="104" s="1"/>
  <c r="AH47" i="4"/>
  <c r="R49" i="4" l="1"/>
  <c r="EE49" i="4" l="1"/>
  <c r="K49" i="4"/>
  <c r="AH34" i="4"/>
  <c r="M52" i="87" s="1"/>
  <c r="N52" i="87" s="1"/>
  <c r="AF21" i="4"/>
  <c r="EF49" i="4" l="1"/>
  <c r="EH49" i="4"/>
  <c r="DX48" i="130"/>
  <c r="D161" i="131"/>
  <c r="E161" i="131" s="1"/>
  <c r="F161" i="131" s="1"/>
  <c r="G161" i="131" s="1"/>
  <c r="H161" i="131" s="1"/>
  <c r="I161" i="131" s="1"/>
  <c r="L186" i="73"/>
  <c r="M186" i="73" s="1"/>
  <c r="M40" i="104"/>
  <c r="N40" i="104" s="1"/>
  <c r="R38" i="4"/>
  <c r="AB19" i="4"/>
  <c r="AB20" i="4"/>
  <c r="AB21" i="4"/>
  <c r="M30" i="104" s="1"/>
  <c r="N30" i="104" s="1"/>
  <c r="AB22" i="4"/>
  <c r="M27" i="105" s="1"/>
  <c r="N27" i="105" s="1"/>
  <c r="AB26" i="4"/>
  <c r="AB28" i="4"/>
  <c r="AB32" i="4"/>
  <c r="AB35" i="4"/>
  <c r="M16" i="72" s="1"/>
  <c r="N16" i="72" s="1"/>
  <c r="AB36" i="4"/>
  <c r="M13" i="127" s="1"/>
  <c r="N13" i="127" s="1"/>
  <c r="AB37" i="4"/>
  <c r="AB42" i="4"/>
  <c r="AB46" i="4"/>
  <c r="AB47" i="4"/>
  <c r="AH42" i="4"/>
  <c r="AR28" i="4"/>
  <c r="EE19" i="4" l="1"/>
  <c r="K19" i="4"/>
  <c r="EH19" i="4" l="1"/>
  <c r="DX19" i="130"/>
  <c r="D132" i="131"/>
  <c r="E132" i="131" s="1"/>
  <c r="F132" i="131" s="1"/>
  <c r="G132" i="131" s="1"/>
  <c r="H132" i="131" s="1"/>
  <c r="I132" i="131" s="1"/>
  <c r="L156" i="73"/>
  <c r="EF19" i="4"/>
  <c r="AR34" i="4"/>
  <c r="M70" i="87" s="1"/>
  <c r="N70" i="87" s="1"/>
  <c r="AR32" i="4"/>
  <c r="AR22" i="4"/>
  <c r="M60" i="105" s="1"/>
  <c r="N60" i="105" s="1"/>
  <c r="AR21" i="4"/>
  <c r="M156" i="73" l="1"/>
  <c r="M70" i="104"/>
  <c r="N70" i="104" s="1"/>
  <c r="Y47" i="4"/>
  <c r="Y42" i="4"/>
  <c r="Y38" i="4"/>
  <c r="Y37" i="4"/>
  <c r="Y35" i="4"/>
  <c r="M13" i="72" s="1"/>
  <c r="N13" i="72" s="1"/>
  <c r="Y32" i="4"/>
  <c r="Y26" i="4"/>
  <c r="Y22" i="4"/>
  <c r="AH30" i="4"/>
  <c r="M17" i="106" s="1"/>
  <c r="N17" i="106" s="1"/>
  <c r="AH38" i="4"/>
  <c r="AH22" i="4"/>
  <c r="AC34" i="4"/>
  <c r="M36" i="87" s="1"/>
  <c r="N36" i="87" s="1"/>
  <c r="AC22" i="4"/>
  <c r="M30" i="105" s="1"/>
  <c r="N30" i="105" s="1"/>
  <c r="AC20" i="4"/>
  <c r="AC54" i="4" s="1"/>
  <c r="AC58" i="4" s="1"/>
  <c r="AF38" i="4"/>
  <c r="AF37" i="4"/>
  <c r="AF35" i="4"/>
  <c r="AF34" i="4"/>
  <c r="AF30" i="4"/>
  <c r="AF28" i="4"/>
  <c r="AF27" i="4"/>
  <c r="AF22" i="4"/>
  <c r="AF20" i="4"/>
  <c r="Y54" i="4" l="1"/>
  <c r="AH54" i="4"/>
  <c r="M21" i="105"/>
  <c r="N21" i="105" s="1"/>
  <c r="M41" i="105"/>
  <c r="N41" i="105" s="1"/>
  <c r="AC77" i="4"/>
  <c r="K17" i="127"/>
  <c r="AF36" i="4"/>
  <c r="M42" i="87"/>
  <c r="N42" i="87" s="1"/>
  <c r="M22" i="72"/>
  <c r="N22" i="72" s="1"/>
  <c r="M13" i="106"/>
  <c r="N13" i="106" s="1"/>
  <c r="M35" i="105"/>
  <c r="N35" i="105" s="1"/>
  <c r="AG27" i="4"/>
  <c r="AG34" i="4"/>
  <c r="M45" i="87" s="1"/>
  <c r="N45" i="87" s="1"/>
  <c r="AH58" i="4" l="1"/>
  <c r="AH77" i="4" s="1"/>
  <c r="Y58" i="4"/>
  <c r="Y77" i="4" s="1"/>
  <c r="AG54" i="4"/>
  <c r="AG58" i="4" s="1"/>
  <c r="AG77" i="4" s="1"/>
  <c r="M19" i="127"/>
  <c r="L17" i="127"/>
  <c r="K19" i="127"/>
  <c r="U65" i="4"/>
  <c r="U47" i="4"/>
  <c r="T47" i="4" s="1"/>
  <c r="U46" i="4"/>
  <c r="T46" i="4" s="1"/>
  <c r="U36" i="4"/>
  <c r="T36" i="4" s="1"/>
  <c r="M7" i="127" s="1"/>
  <c r="N7" i="127" s="1"/>
  <c r="U31" i="4"/>
  <c r="T31" i="4" s="1"/>
  <c r="U27" i="4"/>
  <c r="T27" i="4" s="1"/>
  <c r="EE27" i="4" s="1"/>
  <c r="U26" i="4"/>
  <c r="T26" i="4" s="1"/>
  <c r="U42" i="4"/>
  <c r="T42" i="4" s="1"/>
  <c r="U38" i="4"/>
  <c r="T38" i="4" s="1"/>
  <c r="U37" i="4"/>
  <c r="T37" i="4" s="1"/>
  <c r="U34" i="4"/>
  <c r="T34" i="4" s="1"/>
  <c r="M20" i="87" s="1"/>
  <c r="N20" i="87" s="1"/>
  <c r="U32" i="4"/>
  <c r="T32" i="4" s="1"/>
  <c r="U28" i="4"/>
  <c r="T28" i="4" s="1"/>
  <c r="U22" i="4"/>
  <c r="T22" i="4" s="1"/>
  <c r="M18" i="105" s="1"/>
  <c r="N18" i="105" s="1"/>
  <c r="U21" i="4"/>
  <c r="T21" i="4" s="1"/>
  <c r="M17" i="104" s="1"/>
  <c r="N17" i="104" s="1"/>
  <c r="U20" i="4"/>
  <c r="R37" i="4"/>
  <c r="R34" i="4"/>
  <c r="M10" i="87" s="1"/>
  <c r="N10" i="87" s="1"/>
  <c r="R32" i="4"/>
  <c r="R22" i="4"/>
  <c r="M10" i="105" s="1"/>
  <c r="N10" i="105" s="1"/>
  <c r="T65" i="4" l="1"/>
  <c r="U72" i="4"/>
  <c r="EE46" i="4"/>
  <c r="K46" i="4"/>
  <c r="EE42" i="4"/>
  <c r="K42" i="4"/>
  <c r="K36" i="4"/>
  <c r="K24" i="127" s="1"/>
  <c r="EE36" i="4"/>
  <c r="EE31" i="4"/>
  <c r="K31" i="4"/>
  <c r="K27" i="4"/>
  <c r="EF27" i="4" s="1"/>
  <c r="T20" i="4"/>
  <c r="EE37" i="4"/>
  <c r="K37" i="4"/>
  <c r="EE32" i="4"/>
  <c r="K32" i="4"/>
  <c r="L19" i="127"/>
  <c r="K23" i="127"/>
  <c r="L23" i="127" s="1"/>
  <c r="N19" i="127"/>
  <c r="R21" i="4"/>
  <c r="M10" i="104" s="1"/>
  <c r="N10" i="104" s="1"/>
  <c r="R20" i="4"/>
  <c r="R54" i="4" s="1"/>
  <c r="R58" i="4" s="1"/>
  <c r="EF36" i="4" l="1"/>
  <c r="DX36" i="130"/>
  <c r="D149" i="131"/>
  <c r="E149" i="131" s="1"/>
  <c r="F149" i="131" s="1"/>
  <c r="G149" i="131" s="1"/>
  <c r="H149" i="131" s="1"/>
  <c r="I149" i="131" s="1"/>
  <c r="EH36" i="4"/>
  <c r="L173" i="73"/>
  <c r="M173" i="73" s="1"/>
  <c r="EF42" i="4"/>
  <c r="EF46" i="4"/>
  <c r="EF32" i="4"/>
  <c r="EF37" i="4"/>
  <c r="K65" i="4"/>
  <c r="EE65" i="4"/>
  <c r="T72" i="4"/>
  <c r="DX45" i="130"/>
  <c r="EH46" i="4"/>
  <c r="D158" i="131"/>
  <c r="E158" i="131" s="1"/>
  <c r="F158" i="131" s="1"/>
  <c r="G158" i="131" s="1"/>
  <c r="H158" i="131" s="1"/>
  <c r="I158" i="131" s="1"/>
  <c r="L183" i="73"/>
  <c r="M183" i="73" s="1"/>
  <c r="DX42" i="130"/>
  <c r="L179" i="73"/>
  <c r="M179" i="73" s="1"/>
  <c r="EH42" i="4"/>
  <c r="D155" i="131"/>
  <c r="E155" i="131" s="1"/>
  <c r="F155" i="131" s="1"/>
  <c r="G155" i="131" s="1"/>
  <c r="H155" i="131" s="1"/>
  <c r="I155" i="131" s="1"/>
  <c r="DX31" i="130"/>
  <c r="EH31" i="4"/>
  <c r="D144" i="131"/>
  <c r="E144" i="131" s="1"/>
  <c r="F144" i="131" s="1"/>
  <c r="G144" i="131" s="1"/>
  <c r="H144" i="131" s="1"/>
  <c r="I144" i="131" s="1"/>
  <c r="L168" i="73"/>
  <c r="M168" i="73" s="1"/>
  <c r="EF31" i="4"/>
  <c r="EH27" i="4"/>
  <c r="D140" i="131"/>
  <c r="E140" i="131" s="1"/>
  <c r="F140" i="131" s="1"/>
  <c r="G140" i="131" s="1"/>
  <c r="H140" i="131" s="1"/>
  <c r="I140" i="131" s="1"/>
  <c r="DX27" i="130"/>
  <c r="L164" i="73"/>
  <c r="M164" i="73" s="1"/>
  <c r="DX37" i="130"/>
  <c r="D150" i="131"/>
  <c r="E150" i="131" s="1"/>
  <c r="F150" i="131" s="1"/>
  <c r="G150" i="131" s="1"/>
  <c r="H150" i="131" s="1"/>
  <c r="I150" i="131" s="1"/>
  <c r="L174" i="73"/>
  <c r="M174" i="73" s="1"/>
  <c r="EH37" i="4"/>
  <c r="DX32" i="130"/>
  <c r="D145" i="131"/>
  <c r="E145" i="131" s="1"/>
  <c r="F145" i="131" s="1"/>
  <c r="G145" i="131" s="1"/>
  <c r="H145" i="131" s="1"/>
  <c r="I145" i="131" s="1"/>
  <c r="EH32" i="4"/>
  <c r="L169" i="73"/>
  <c r="M169" i="73" s="1"/>
  <c r="R77" i="4"/>
  <c r="EE20" i="4"/>
  <c r="K20" i="4"/>
  <c r="K25" i="127"/>
  <c r="EF65" i="4" l="1"/>
  <c r="V30" i="94"/>
  <c r="W30" i="94" s="1"/>
  <c r="R34" i="85"/>
  <c r="S34" i="85" s="1"/>
  <c r="EH65" i="4"/>
  <c r="D173" i="131"/>
  <c r="L200" i="73"/>
  <c r="M200" i="73" s="1"/>
  <c r="DX62" i="130"/>
  <c r="EF20" i="4"/>
  <c r="D133" i="131"/>
  <c r="E133" i="131" s="1"/>
  <c r="F133" i="131" s="1"/>
  <c r="G133" i="131" s="1"/>
  <c r="H133" i="131" s="1"/>
  <c r="I133" i="131" s="1"/>
  <c r="EH20" i="4"/>
  <c r="DX20" i="130"/>
  <c r="L157" i="73"/>
  <c r="K28" i="72"/>
  <c r="M157" i="73" l="1"/>
  <c r="L28" i="72"/>
  <c r="K6" i="106" l="1"/>
  <c r="L6" i="106" l="1"/>
  <c r="K7" i="106"/>
  <c r="AY21" i="4"/>
  <c r="K56" i="104"/>
  <c r="L7" i="106" l="1"/>
  <c r="K62" i="106"/>
  <c r="L62" i="106" s="1"/>
  <c r="L56" i="104"/>
  <c r="K58" i="104"/>
  <c r="AX21" i="4"/>
  <c r="L58" i="104" l="1"/>
  <c r="M58" i="104"/>
  <c r="N58" i="104" s="1"/>
  <c r="O104" i="94" l="1"/>
  <c r="P104" i="94" l="1"/>
  <c r="O106" i="94"/>
  <c r="P106" i="94" l="1"/>
  <c r="W106" i="94"/>
  <c r="O37" i="94" l="1"/>
  <c r="AF62" i="4"/>
  <c r="AF72" i="4" l="1"/>
  <c r="V40" i="94" s="1"/>
  <c r="P37" i="94"/>
  <c r="O40" i="94"/>
  <c r="O185" i="94" l="1"/>
  <c r="P40" i="94"/>
  <c r="W40" i="94"/>
  <c r="P33" i="4"/>
  <c r="P185" i="94" l="1"/>
  <c r="K44" i="72"/>
  <c r="L44" i="72" s="1"/>
  <c r="K45" i="72"/>
  <c r="L45" i="72" s="1"/>
  <c r="K46" i="72"/>
  <c r="L46" i="72" l="1"/>
  <c r="K26" i="72" l="1"/>
  <c r="L26" i="72" s="1"/>
  <c r="K27" i="72"/>
  <c r="K29" i="72"/>
  <c r="L29" i="72" s="1"/>
  <c r="L27" i="72" l="1"/>
  <c r="K48" i="72" l="1"/>
  <c r="L48" i="72" l="1"/>
  <c r="K52" i="72"/>
  <c r="L52" i="72" s="1"/>
  <c r="K32" i="72"/>
  <c r="L32" i="72" s="1"/>
  <c r="K33" i="72"/>
  <c r="K35" i="72"/>
  <c r="L35" i="72" s="1"/>
  <c r="L33" i="72" l="1"/>
  <c r="K66" i="72"/>
  <c r="K89" i="87"/>
  <c r="L89" i="87" s="1"/>
  <c r="K88" i="87"/>
  <c r="L66" i="72" l="1"/>
  <c r="L88" i="87"/>
  <c r="K91" i="87"/>
  <c r="BB34" i="4"/>
  <c r="BA34" i="4" s="1"/>
  <c r="L91" i="87" l="1"/>
  <c r="M91" i="87"/>
  <c r="N91" i="87" s="1"/>
  <c r="O62" i="94" l="1"/>
  <c r="AP63" i="4"/>
  <c r="K6" i="87"/>
  <c r="L6" i="87" l="1"/>
  <c r="K7" i="87"/>
  <c r="L7" i="87" s="1"/>
  <c r="AO63" i="4"/>
  <c r="AP72" i="4"/>
  <c r="P62" i="94"/>
  <c r="O66" i="94"/>
  <c r="P66" i="94" l="1"/>
  <c r="K63" i="4"/>
  <c r="EE63" i="4"/>
  <c r="EF63" i="4" s="1"/>
  <c r="AO72" i="4"/>
  <c r="V66" i="94" l="1"/>
  <c r="W66" i="94" s="1"/>
  <c r="R36" i="85"/>
  <c r="S36" i="85" s="1"/>
  <c r="D171" i="131"/>
  <c r="EH63" i="4"/>
  <c r="DX60" i="130"/>
  <c r="L198" i="73"/>
  <c r="M198" i="73" s="1"/>
  <c r="K155" i="72" l="1"/>
  <c r="K71" i="87"/>
  <c r="L155" i="72" l="1"/>
  <c r="K157" i="72"/>
  <c r="L157" i="72" s="1"/>
  <c r="L71" i="87"/>
  <c r="K73" i="87"/>
  <c r="L73" i="87" s="1"/>
  <c r="AS34" i="4"/>
  <c r="K51" i="104"/>
  <c r="L51" i="104" l="1"/>
  <c r="K52" i="104"/>
  <c r="L52" i="104" s="1"/>
  <c r="M73" i="87"/>
  <c r="N73" i="87" s="1"/>
  <c r="L45" i="125" l="1"/>
  <c r="CH25" i="4"/>
  <c r="O186" i="94" l="1"/>
  <c r="CG25" i="4"/>
  <c r="L48" i="125"/>
  <c r="K66" i="125"/>
  <c r="L66" i="125" s="1"/>
  <c r="O183" i="94" l="1"/>
  <c r="P183" i="94" s="1"/>
  <c r="P186" i="94"/>
  <c r="O187" i="94"/>
  <c r="M48" i="125"/>
  <c r="N48" i="125" s="1"/>
  <c r="P187" i="94" l="1"/>
  <c r="K140" i="87" l="1"/>
  <c r="K124" i="87"/>
  <c r="K77" i="72"/>
  <c r="K102" i="87"/>
  <c r="K78" i="87"/>
  <c r="K74" i="105"/>
  <c r="L74" i="105" s="1"/>
  <c r="K73" i="105"/>
  <c r="K60" i="72"/>
  <c r="L60" i="72" s="1"/>
  <c r="K59" i="72"/>
  <c r="K54" i="72"/>
  <c r="L54" i="72" s="1"/>
  <c r="K53" i="72"/>
  <c r="AR72" i="4"/>
  <c r="K31" i="72"/>
  <c r="K46" i="105"/>
  <c r="K45" i="105"/>
  <c r="L45" i="105" s="1"/>
  <c r="K63" i="87"/>
  <c r="K48" i="104"/>
  <c r="K47" i="104"/>
  <c r="L47" i="104" s="1"/>
  <c r="K42" i="105"/>
  <c r="K23" i="72"/>
  <c r="K54" i="87"/>
  <c r="L54" i="87" s="1"/>
  <c r="K53" i="87"/>
  <c r="K10" i="137"/>
  <c r="O91" i="94" l="1"/>
  <c r="L10" i="137"/>
  <c r="K11" i="137"/>
  <c r="V78" i="94"/>
  <c r="W78" i="94" s="1"/>
  <c r="R39" i="85"/>
  <c r="S39" i="85" s="1"/>
  <c r="L140" i="87"/>
  <c r="K142" i="87"/>
  <c r="L142" i="87" s="1"/>
  <c r="L59" i="72"/>
  <c r="K61" i="72"/>
  <c r="L61" i="72" s="1"/>
  <c r="L78" i="87"/>
  <c r="K81" i="87"/>
  <c r="L81" i="87" s="1"/>
  <c r="L73" i="105"/>
  <c r="K76" i="105"/>
  <c r="L76" i="105" s="1"/>
  <c r="L124" i="87"/>
  <c r="K129" i="87"/>
  <c r="L129" i="87" s="1"/>
  <c r="K41" i="72"/>
  <c r="L63" i="87"/>
  <c r="K65" i="87"/>
  <c r="L65" i="87" s="1"/>
  <c r="L23" i="72"/>
  <c r="K30" i="72"/>
  <c r="L30" i="72" s="1"/>
  <c r="L31" i="72"/>
  <c r="K36" i="72"/>
  <c r="L36" i="72" s="1"/>
  <c r="L53" i="87"/>
  <c r="K55" i="87"/>
  <c r="L55" i="87" s="1"/>
  <c r="L42" i="105"/>
  <c r="K44" i="105"/>
  <c r="L44" i="105" s="1"/>
  <c r="L46" i="105"/>
  <c r="K48" i="105"/>
  <c r="L48" i="104"/>
  <c r="K49" i="104"/>
  <c r="L53" i="72"/>
  <c r="K55" i="72"/>
  <c r="L55" i="72" s="1"/>
  <c r="L77" i="72"/>
  <c r="K81" i="72"/>
  <c r="L81" i="72" s="1"/>
  <c r="L102" i="87"/>
  <c r="K104" i="87"/>
  <c r="P91" i="94" l="1"/>
  <c r="O94" i="94"/>
  <c r="P94" i="94" s="1"/>
  <c r="L11" i="137"/>
  <c r="K15" i="137"/>
  <c r="L15" i="137" s="1"/>
  <c r="L41" i="72"/>
  <c r="K47" i="72"/>
  <c r="L47" i="72" s="1"/>
  <c r="L48" i="105"/>
  <c r="L49" i="104"/>
  <c r="K75" i="104"/>
  <c r="L75" i="104" s="1"/>
  <c r="L104" i="87"/>
  <c r="P30" i="4" l="1"/>
  <c r="M7" i="106" l="1"/>
  <c r="N7" i="106" s="1"/>
  <c r="EE30" i="4"/>
  <c r="K30" i="4"/>
  <c r="EF30" i="4" l="1"/>
  <c r="L167" i="73"/>
  <c r="M167" i="73" s="1"/>
  <c r="EH30" i="4"/>
  <c r="D143" i="131"/>
  <c r="E143" i="131" s="1"/>
  <c r="F143" i="131" s="1"/>
  <c r="G143" i="131" s="1"/>
  <c r="H143" i="131" s="1"/>
  <c r="I143" i="131" s="1"/>
  <c r="K63" i="106"/>
  <c r="K64" i="106" s="1"/>
  <c r="DX30" i="130"/>
  <c r="AM21" i="4" l="1"/>
  <c r="AL21" i="4" l="1"/>
  <c r="AJ21" i="4"/>
  <c r="M52" i="104" l="1"/>
  <c r="N52" i="104" s="1"/>
  <c r="AI21" i="4"/>
  <c r="M49" i="104" l="1"/>
  <c r="N49" i="104" s="1"/>
  <c r="K21" i="4"/>
  <c r="EE21" i="4"/>
  <c r="EF21" i="4" l="1"/>
  <c r="D134" i="131"/>
  <c r="E134" i="131" s="1"/>
  <c r="F134" i="131" s="1"/>
  <c r="G134" i="131" s="1"/>
  <c r="H134" i="131" s="1"/>
  <c r="I134" i="131" s="1"/>
  <c r="L158" i="73"/>
  <c r="DX21" i="130"/>
  <c r="K76" i="104"/>
  <c r="K77" i="104" s="1"/>
  <c r="EH21" i="4"/>
  <c r="M158" i="73" l="1"/>
  <c r="AV34" i="4"/>
  <c r="AU34" i="4" s="1"/>
  <c r="M81" i="87" s="1"/>
  <c r="N81" i="87" s="1"/>
  <c r="AM28" i="4" l="1"/>
  <c r="AL28" i="4" s="1"/>
  <c r="AM22" i="4"/>
  <c r="K28" i="4" l="1"/>
  <c r="EE28" i="4"/>
  <c r="AL22" i="4"/>
  <c r="EF28" i="4" l="1"/>
  <c r="D141" i="131"/>
  <c r="E141" i="131" s="1"/>
  <c r="F141" i="131" s="1"/>
  <c r="G141" i="131" s="1"/>
  <c r="H141" i="131" s="1"/>
  <c r="I141" i="131" s="1"/>
  <c r="DX28" i="130"/>
  <c r="EH28" i="4"/>
  <c r="L165" i="73"/>
  <c r="M165" i="73" s="1"/>
  <c r="M48" i="105"/>
  <c r="N48" i="105" s="1"/>
  <c r="AV22" i="4"/>
  <c r="AU22" i="4" l="1"/>
  <c r="P67" i="4"/>
  <c r="P29" i="4"/>
  <c r="P34" i="4"/>
  <c r="M7" i="87" s="1"/>
  <c r="N7" i="87" s="1"/>
  <c r="CH61" i="4"/>
  <c r="CH34" i="4"/>
  <c r="CH54" i="4" s="1"/>
  <c r="CH58" i="4" s="1"/>
  <c r="AV35" i="4"/>
  <c r="AU35" i="4" s="1"/>
  <c r="M61" i="72" s="1"/>
  <c r="N61" i="72" s="1"/>
  <c r="AR26" i="4"/>
  <c r="AR35" i="4"/>
  <c r="M52" i="72" s="1"/>
  <c r="N52" i="72" s="1"/>
  <c r="BQ35" i="4"/>
  <c r="BP35" i="4" s="1"/>
  <c r="M81" i="72" s="1"/>
  <c r="N81" i="72" s="1"/>
  <c r="BQ34" i="4"/>
  <c r="BQ54" i="4" s="1"/>
  <c r="BQ58" i="4" s="1"/>
  <c r="AM35" i="4"/>
  <c r="AL35" i="4" s="1"/>
  <c r="M36" i="72" s="1"/>
  <c r="N36" i="72" s="1"/>
  <c r="AS35" i="4"/>
  <c r="AS54" i="4" s="1"/>
  <c r="AS58" i="4" s="1"/>
  <c r="K67" i="4" l="1"/>
  <c r="EE67" i="4"/>
  <c r="M11" i="137"/>
  <c r="N11" i="137" s="1"/>
  <c r="EE26" i="4"/>
  <c r="K26" i="4"/>
  <c r="M76" i="105"/>
  <c r="N76" i="105" s="1"/>
  <c r="CG61" i="4"/>
  <c r="CH72" i="4"/>
  <c r="CG34" i="4"/>
  <c r="CG54" i="4" s="1"/>
  <c r="CG58" i="4" s="1"/>
  <c r="M55" i="72"/>
  <c r="N55" i="72" s="1"/>
  <c r="AS77" i="4"/>
  <c r="BP34" i="4"/>
  <c r="BP54" i="4" s="1"/>
  <c r="BP58" i="4" s="1"/>
  <c r="BQ77" i="4"/>
  <c r="AJ22" i="4"/>
  <c r="AJ35" i="4"/>
  <c r="AI35" i="4" s="1"/>
  <c r="M30" i="72" s="1"/>
  <c r="N30" i="72" s="1"/>
  <c r="AJ34" i="4"/>
  <c r="AI34" i="4" s="1"/>
  <c r="M55" i="87" s="1"/>
  <c r="N55" i="87" s="1"/>
  <c r="AP35" i="4"/>
  <c r="AO35" i="4" s="1"/>
  <c r="M47" i="72" s="1"/>
  <c r="N47" i="72" s="1"/>
  <c r="AP34" i="4"/>
  <c r="AO34" i="4" s="1"/>
  <c r="M65" i="87" s="1"/>
  <c r="N65" i="87" s="1"/>
  <c r="DA35" i="4"/>
  <c r="CZ35" i="4" s="1"/>
  <c r="DA34" i="4"/>
  <c r="DA54" i="4" s="1"/>
  <c r="DA58" i="4" s="1"/>
  <c r="M157" i="72" l="1"/>
  <c r="N157" i="72" s="1"/>
  <c r="EF67" i="4"/>
  <c r="EH67" i="4"/>
  <c r="D175" i="131"/>
  <c r="L202" i="73"/>
  <c r="M202" i="73" s="1"/>
  <c r="DX64" i="130"/>
  <c r="CH77" i="4"/>
  <c r="EF26" i="4"/>
  <c r="DX26" i="130"/>
  <c r="D139" i="131"/>
  <c r="E139" i="131" s="1"/>
  <c r="F139" i="131" s="1"/>
  <c r="G139" i="131" s="1"/>
  <c r="H139" i="131" s="1"/>
  <c r="I139" i="131" s="1"/>
  <c r="EH26" i="4"/>
  <c r="L163" i="73"/>
  <c r="M163" i="73" s="1"/>
  <c r="CZ34" i="4"/>
  <c r="CZ54" i="4" s="1"/>
  <c r="CZ58" i="4" s="1"/>
  <c r="DA77" i="4"/>
  <c r="CG72" i="4"/>
  <c r="M129" i="87"/>
  <c r="N129" i="87" s="1"/>
  <c r="AI22" i="4"/>
  <c r="M104" i="87"/>
  <c r="N104" i="87" s="1"/>
  <c r="BP77" i="4"/>
  <c r="M142" i="87" l="1"/>
  <c r="N142" i="87" s="1"/>
  <c r="CZ77" i="4"/>
  <c r="R51" i="85"/>
  <c r="S51" i="85" s="1"/>
  <c r="V187" i="94"/>
  <c r="W187" i="94" s="1"/>
  <c r="CG77" i="4"/>
  <c r="R8" i="91"/>
  <c r="S8" i="91"/>
  <c r="P8" i="91"/>
  <c r="T8" i="91"/>
  <c r="M44" i="105"/>
  <c r="N44" i="105" s="1"/>
  <c r="EE22" i="4"/>
  <c r="K22" i="4"/>
  <c r="O294" i="94" l="1"/>
  <c r="L159" i="73"/>
  <c r="DX22" i="130"/>
  <c r="K164" i="105"/>
  <c r="EH22" i="4"/>
  <c r="D135" i="131"/>
  <c r="E135" i="131" s="1"/>
  <c r="F135" i="131" s="1"/>
  <c r="G135" i="131" s="1"/>
  <c r="H135" i="131" s="1"/>
  <c r="I135" i="131" s="1"/>
  <c r="EF22" i="4"/>
  <c r="DO33" i="4"/>
  <c r="M159" i="73" l="1"/>
  <c r="P294" i="94"/>
  <c r="O298" i="94"/>
  <c r="P298" i="94" s="1"/>
  <c r="DN33" i="4"/>
  <c r="R21" i="85"/>
  <c r="S21" i="85" s="1"/>
  <c r="K33" i="4" l="1"/>
  <c r="EE33" i="4"/>
  <c r="EF33" i="4" l="1"/>
  <c r="DX33" i="130"/>
  <c r="D146" i="131"/>
  <c r="E146" i="131" s="1"/>
  <c r="F146" i="131" s="1"/>
  <c r="G146" i="131" s="1"/>
  <c r="H146" i="131" s="1"/>
  <c r="I146" i="131" s="1"/>
  <c r="EH33" i="4"/>
  <c r="L170" i="73"/>
  <c r="M170" i="73" s="1"/>
  <c r="K182" i="87" l="1"/>
  <c r="L182" i="87" s="1"/>
  <c r="K183" i="87"/>
  <c r="L183" i="87" s="1"/>
  <c r="O99" i="94" l="1"/>
  <c r="P99" i="94" l="1"/>
  <c r="O102" i="94"/>
  <c r="P102" i="94" s="1"/>
  <c r="K121" i="105" l="1"/>
  <c r="L121" i="105" s="1"/>
  <c r="K120" i="105"/>
  <c r="K181" i="87"/>
  <c r="K115" i="87"/>
  <c r="L120" i="105" l="1"/>
  <c r="K123" i="105"/>
  <c r="L181" i="87"/>
  <c r="K184" i="87"/>
  <c r="L184" i="87" s="1"/>
  <c r="O283" i="94"/>
  <c r="O282" i="94"/>
  <c r="L115" i="87"/>
  <c r="K117" i="87"/>
  <c r="P283" i="94" l="1"/>
  <c r="L123" i="105"/>
  <c r="N123" i="105"/>
  <c r="K163" i="105"/>
  <c r="P282" i="94"/>
  <c r="O284" i="94"/>
  <c r="L117" i="87"/>
  <c r="N117" i="87"/>
  <c r="L163" i="105" l="1"/>
  <c r="K165" i="105"/>
  <c r="P284" i="94"/>
  <c r="DO62" i="4" l="1"/>
  <c r="DN62" i="4" l="1"/>
  <c r="DN72" i="4" s="1"/>
  <c r="DO72" i="4"/>
  <c r="V102" i="94" l="1"/>
  <c r="W102" i="94" s="1"/>
  <c r="R41" i="85"/>
  <c r="S41" i="85" s="1"/>
  <c r="DR62" i="4" l="1"/>
  <c r="DR72" i="4" s="1"/>
  <c r="V298" i="94" l="1"/>
  <c r="W298" i="94" s="1"/>
  <c r="DR77" i="4"/>
  <c r="DM34" i="4" l="1"/>
  <c r="DM54" i="4" s="1"/>
  <c r="DM58" i="4" s="1"/>
  <c r="M184" i="87" l="1"/>
  <c r="N184" i="87" s="1"/>
  <c r="DM77" i="4"/>
  <c r="CF62" i="4" l="1"/>
  <c r="CF72" i="4" l="1"/>
  <c r="V284" i="94" l="1"/>
  <c r="W284" i="94" s="1"/>
  <c r="R50" i="85"/>
  <c r="S50" i="85" s="1"/>
  <c r="CF77" i="4"/>
  <c r="BB25" i="4" l="1"/>
  <c r="BA25" i="4" l="1"/>
  <c r="M35" i="125" l="1"/>
  <c r="N35" i="125" s="1"/>
  <c r="U24" i="4" l="1"/>
  <c r="T24" i="4" s="1"/>
  <c r="M8" i="123" s="1"/>
  <c r="N8" i="123" s="1"/>
  <c r="AJ23" i="4" l="1"/>
  <c r="AJ54" i="4" s="1"/>
  <c r="AJ58" i="4" s="1"/>
  <c r="AI23" i="4" l="1"/>
  <c r="AI54" i="4" s="1"/>
  <c r="AI58" i="4" s="1"/>
  <c r="AJ77" i="4"/>
  <c r="AI77" i="4" l="1"/>
  <c r="L29" i="4" l="1"/>
  <c r="L54" i="4" s="1"/>
  <c r="M8" i="137" l="1"/>
  <c r="N8" i="137" s="1"/>
  <c r="K29" i="4"/>
  <c r="EE29" i="4"/>
  <c r="EF29" i="4" l="1"/>
  <c r="K16" i="137"/>
  <c r="K17" i="137" s="1"/>
  <c r="DX29" i="130"/>
  <c r="EH29" i="4"/>
  <c r="D142" i="131"/>
  <c r="E142" i="131" s="1"/>
  <c r="F142" i="131" s="1"/>
  <c r="G142" i="131" s="1"/>
  <c r="H142" i="131" s="1"/>
  <c r="I142" i="131" s="1"/>
  <c r="L166" i="73"/>
  <c r="M166" i="73" s="1"/>
  <c r="AF25" i="4"/>
  <c r="AF24" i="4"/>
  <c r="AM25" i="4"/>
  <c r="AL25" i="4" s="1"/>
  <c r="M17" i="125" s="1"/>
  <c r="N17" i="125" s="1"/>
  <c r="AM24" i="4"/>
  <c r="AM54" i="4" s="1"/>
  <c r="AM58" i="4" s="1"/>
  <c r="AR24" i="4"/>
  <c r="M26" i="123" s="1"/>
  <c r="N26" i="123" s="1"/>
  <c r="U23" i="4"/>
  <c r="AF54" i="4" l="1"/>
  <c r="AF58" i="4" s="1"/>
  <c r="AF77" i="4" s="1"/>
  <c r="U25" i="4"/>
  <c r="T25" i="4" s="1"/>
  <c r="M8" i="125" s="1"/>
  <c r="N8" i="125" s="1"/>
  <c r="T23" i="4"/>
  <c r="AL24" i="4"/>
  <c r="AL54" i="4" s="1"/>
  <c r="AL58" i="4" s="1"/>
  <c r="AM77" i="4"/>
  <c r="M11" i="125"/>
  <c r="N11" i="125" s="1"/>
  <c r="M11" i="123"/>
  <c r="N11" i="123" s="1"/>
  <c r="AP23" i="4"/>
  <c r="AR23" i="4"/>
  <c r="AR25" i="4"/>
  <c r="M26" i="125" s="1"/>
  <c r="N26" i="125" s="1"/>
  <c r="AR54" i="4" l="1"/>
  <c r="AR58" i="4" s="1"/>
  <c r="AR77" i="4" s="1"/>
  <c r="AO23" i="4"/>
  <c r="M17" i="123"/>
  <c r="N17" i="123" s="1"/>
  <c r="AL77" i="4"/>
  <c r="L55" i="4" l="1"/>
  <c r="L58" i="4" s="1"/>
  <c r="K55" i="4" l="1"/>
  <c r="EE55" i="4"/>
  <c r="L77" i="4"/>
  <c r="R28" i="85"/>
  <c r="S28" i="85" s="1"/>
  <c r="EF55" i="4" l="1"/>
  <c r="EH55" i="4"/>
  <c r="L191" i="73"/>
  <c r="M191" i="73" s="1"/>
  <c r="K12" i="138"/>
  <c r="K13" i="138" s="1"/>
  <c r="DX53" i="130"/>
  <c r="D165" i="131"/>
  <c r="D213" i="131" l="1"/>
  <c r="D212" i="131" s="1"/>
  <c r="L244" i="73"/>
  <c r="L243" i="73" s="1"/>
  <c r="L253" i="73" l="1"/>
  <c r="L236" i="73"/>
  <c r="D222" i="131"/>
  <c r="D205" i="131"/>
  <c r="D221" i="131"/>
  <c r="D220" i="131" l="1"/>
  <c r="N52" i="4" l="1"/>
  <c r="N54" i="4" s="1"/>
  <c r="N58" i="4" s="1"/>
  <c r="EE52" i="4" l="1"/>
  <c r="N77" i="4"/>
  <c r="K52" i="4"/>
  <c r="EH52" i="4" l="1"/>
  <c r="L189" i="73"/>
  <c r="M189" i="73" s="1"/>
  <c r="D164" i="131"/>
  <c r="DX51" i="130"/>
  <c r="E164" i="131" l="1"/>
  <c r="F164" i="131" l="1"/>
  <c r="G164" i="131" l="1"/>
  <c r="H164" i="131" l="1"/>
  <c r="I164" i="131" l="1"/>
  <c r="K146" i="87" l="1"/>
  <c r="K170" i="87"/>
  <c r="L170" i="87" s="1"/>
  <c r="K171" i="87"/>
  <c r="L171" i="87" s="1"/>
  <c r="K172" i="87"/>
  <c r="L172" i="87" s="1"/>
  <c r="K148" i="87"/>
  <c r="L148" i="87" s="1"/>
  <c r="K166" i="87"/>
  <c r="L166" i="87" s="1"/>
  <c r="K167" i="87"/>
  <c r="L167" i="87" s="1"/>
  <c r="K168" i="87"/>
  <c r="L168" i="87" s="1"/>
  <c r="K169" i="87"/>
  <c r="L169" i="87" s="1"/>
  <c r="L146" i="87" l="1"/>
  <c r="K151" i="87"/>
  <c r="L151" i="87" s="1"/>
  <c r="DO34" i="4" l="1"/>
  <c r="DO54" i="4" s="1"/>
  <c r="DO58" i="4" s="1"/>
  <c r="K165" i="87"/>
  <c r="DN34" i="4" l="1"/>
  <c r="DN54" i="4" s="1"/>
  <c r="DN58" i="4" s="1"/>
  <c r="DO77" i="4"/>
  <c r="L165" i="87"/>
  <c r="K173" i="87"/>
  <c r="DF34" i="4"/>
  <c r="DF54" i="4" s="1"/>
  <c r="DF58" i="4" s="1"/>
  <c r="M151" i="87" l="1"/>
  <c r="N151" i="87" s="1"/>
  <c r="DN77" i="4"/>
  <c r="L173" i="87"/>
  <c r="K213" i="87"/>
  <c r="L213" i="87" s="1"/>
  <c r="H26" i="117"/>
  <c r="DF77" i="4"/>
  <c r="EJ34" i="4"/>
  <c r="X34" i="4"/>
  <c r="X54" i="4" s="1"/>
  <c r="X58" i="4" s="1"/>
  <c r="X77" i="4" l="1"/>
  <c r="X78" i="4"/>
  <c r="X79" i="4" s="1"/>
  <c r="EI34" i="4"/>
  <c r="EJ54" i="4"/>
  <c r="E26" i="117"/>
  <c r="H15" i="117"/>
  <c r="H5" i="117" s="1"/>
  <c r="H47" i="117" s="1"/>
  <c r="H143" i="117" s="1"/>
  <c r="EJ58" i="4" l="1"/>
  <c r="EJ77" i="4" s="1"/>
  <c r="C26" i="117"/>
  <c r="C15" i="117" s="1"/>
  <c r="C5" i="117" s="1"/>
  <c r="E15" i="117"/>
  <c r="E5" i="117" s="1"/>
  <c r="E47" i="117" s="1"/>
  <c r="Q47" i="117" l="1"/>
  <c r="E143" i="117"/>
  <c r="C47" i="117"/>
  <c r="C143" i="117" s="1"/>
  <c r="F48" i="117"/>
  <c r="DE34" i="4" l="1"/>
  <c r="DE54" i="4" s="1"/>
  <c r="DE58" i="4" s="1"/>
  <c r="DE77" i="4" l="1"/>
  <c r="DD34" i="4"/>
  <c r="DD54" i="4" s="1"/>
  <c r="DD58" i="4" s="1"/>
  <c r="R7" i="91" l="1"/>
  <c r="R18" i="91" s="1"/>
  <c r="R27" i="91" s="1"/>
  <c r="P7" i="91"/>
  <c r="P18" i="91" s="1"/>
  <c r="P27" i="91" s="1"/>
  <c r="P31" i="91" s="1"/>
  <c r="P34" i="91" s="1"/>
  <c r="P37" i="91" s="1"/>
  <c r="P42" i="91" s="1"/>
  <c r="M173" i="87"/>
  <c r="N173" i="87" s="1"/>
  <c r="DD77" i="4"/>
  <c r="T7" i="91"/>
  <c r="T18" i="91" s="1"/>
  <c r="T27" i="91" s="1"/>
  <c r="S7" i="91"/>
  <c r="S18" i="91" s="1"/>
  <c r="S27" i="91" s="1"/>
  <c r="K7" i="72" l="1"/>
  <c r="L7" i="72" s="1"/>
  <c r="AB34" i="4" l="1"/>
  <c r="AB38" i="4"/>
  <c r="AB54" i="4" l="1"/>
  <c r="AB58" i="4" s="1"/>
  <c r="AB77" i="4" s="1"/>
  <c r="EE38" i="4"/>
  <c r="K38" i="4"/>
  <c r="M33" i="87"/>
  <c r="N33" i="87" s="1"/>
  <c r="K34" i="4"/>
  <c r="EE34" i="4"/>
  <c r="EF34" i="4" l="1"/>
  <c r="EH38" i="4"/>
  <c r="D151" i="131"/>
  <c r="E151" i="131" s="1"/>
  <c r="F151" i="131" s="1"/>
  <c r="G151" i="131" s="1"/>
  <c r="H151" i="131" s="1"/>
  <c r="I151" i="131" s="1"/>
  <c r="DX38" i="130"/>
  <c r="L175" i="73"/>
  <c r="M175" i="73" s="1"/>
  <c r="EF38" i="4"/>
  <c r="EH34" i="4"/>
  <c r="K214" i="87"/>
  <c r="K215" i="87" s="1"/>
  <c r="L171" i="73"/>
  <c r="M171" i="73" s="1"/>
  <c r="D147" i="131"/>
  <c r="E147" i="131" s="1"/>
  <c r="F147" i="131" s="1"/>
  <c r="G147" i="131" s="1"/>
  <c r="H147" i="131" s="1"/>
  <c r="I147" i="131" s="1"/>
  <c r="DX34" i="130"/>
  <c r="K67" i="72" l="1"/>
  <c r="L67" i="72" l="1"/>
  <c r="K69" i="72"/>
  <c r="L69" i="72" s="1"/>
  <c r="BB35" i="4"/>
  <c r="BB54" i="4" s="1"/>
  <c r="BB58" i="4" s="1"/>
  <c r="BA35" i="4" l="1"/>
  <c r="BA54" i="4" s="1"/>
  <c r="BA58" i="4" s="1"/>
  <c r="BB77" i="4"/>
  <c r="M69" i="72" l="1"/>
  <c r="N69" i="72" s="1"/>
  <c r="BA77" i="4"/>
  <c r="K63" i="72" l="1"/>
  <c r="L63" i="72" s="1"/>
  <c r="K62" i="72"/>
  <c r="K6" i="72"/>
  <c r="K5" i="72"/>
  <c r="L5" i="72" s="1"/>
  <c r="L6" i="72" l="1"/>
  <c r="K9" i="72"/>
  <c r="L9" i="72" s="1"/>
  <c r="O79" i="94"/>
  <c r="P79" i="94" s="1"/>
  <c r="O80" i="94"/>
  <c r="K65" i="72"/>
  <c r="L62" i="72"/>
  <c r="P80" i="94" l="1"/>
  <c r="O82" i="94"/>
  <c r="L65" i="72"/>
  <c r="K179" i="72"/>
  <c r="L179" i="72" s="1"/>
  <c r="P82" i="94" l="1"/>
  <c r="W82" i="94"/>
  <c r="U35" i="4" l="1"/>
  <c r="U54" i="4" s="1"/>
  <c r="U58" i="4" s="1"/>
  <c r="T35" i="4" l="1"/>
  <c r="T54" i="4" s="1"/>
  <c r="T58" i="4" s="1"/>
  <c r="U77" i="4"/>
  <c r="M9" i="72" l="1"/>
  <c r="N9" i="72" s="1"/>
  <c r="T77" i="4"/>
  <c r="AY35" i="4" l="1"/>
  <c r="AY54" i="4" s="1"/>
  <c r="AY58" i="4" s="1"/>
  <c r="AX35" i="4" l="1"/>
  <c r="AX54" i="4" s="1"/>
  <c r="AX58" i="4" s="1"/>
  <c r="AY77" i="4"/>
  <c r="AX77" i="4" l="1"/>
  <c r="M65" i="72"/>
  <c r="N65" i="72" s="1"/>
  <c r="K35" i="4"/>
  <c r="EE35" i="4"/>
  <c r="EF35" i="4" l="1"/>
  <c r="D148" i="131"/>
  <c r="E148" i="131" s="1"/>
  <c r="F148" i="131" s="1"/>
  <c r="G148" i="131" s="1"/>
  <c r="H148" i="131" s="1"/>
  <c r="I148" i="131" s="1"/>
  <c r="L172" i="73"/>
  <c r="M172" i="73" s="1"/>
  <c r="EH35" i="4"/>
  <c r="DX35" i="130"/>
  <c r="K180" i="72"/>
  <c r="K181" i="72" s="1"/>
  <c r="R23" i="85" l="1"/>
  <c r="S23" i="85" s="1"/>
  <c r="O168" i="94" l="1"/>
  <c r="P168" i="94" l="1"/>
  <c r="Q168" i="94"/>
  <c r="O182" i="94"/>
  <c r="P182" i="94" l="1"/>
  <c r="O34" i="94" l="1"/>
  <c r="P34" i="94" l="1"/>
  <c r="O36" i="94"/>
  <c r="AD62" i="4"/>
  <c r="AD72" i="4" s="1"/>
  <c r="V36" i="94" l="1"/>
  <c r="W36" i="94" s="1"/>
  <c r="R37" i="85"/>
  <c r="S37" i="85" s="1"/>
  <c r="AD77" i="4"/>
  <c r="P36" i="94"/>
  <c r="O325" i="94"/>
  <c r="P325" i="94" s="1"/>
  <c r="CM25" i="4" l="1"/>
  <c r="CM54" i="4" s="1"/>
  <c r="CM58" i="4" s="1"/>
  <c r="M55" i="125" l="1"/>
  <c r="N55" i="125" s="1"/>
  <c r="CM77" i="4"/>
  <c r="CD62" i="4" l="1"/>
  <c r="CC62" i="4" l="1"/>
  <c r="CD72" i="4"/>
  <c r="CD77" i="4" s="1"/>
  <c r="CC72" i="4" l="1"/>
  <c r="K62" i="4"/>
  <c r="EE62" i="4"/>
  <c r="EF62" i="4" l="1"/>
  <c r="L197" i="73"/>
  <c r="M197" i="73" s="1"/>
  <c r="DX59" i="130"/>
  <c r="EH62" i="4"/>
  <c r="D170" i="131"/>
  <c r="R45" i="85"/>
  <c r="S45" i="85" s="1"/>
  <c r="V182" i="94"/>
  <c r="W182" i="94" s="1"/>
  <c r="CC77" i="4"/>
  <c r="P69" i="4" l="1"/>
  <c r="K69" i="4" l="1"/>
  <c r="EE69" i="4"/>
  <c r="EF69" i="4" s="1"/>
  <c r="D177" i="131" l="1"/>
  <c r="EH69" i="4"/>
  <c r="DX66" i="130"/>
  <c r="L204" i="73"/>
  <c r="M204" i="73" s="1"/>
  <c r="R29" i="85"/>
  <c r="S29" i="85" l="1"/>
  <c r="R31" i="85"/>
  <c r="P68" i="4" l="1"/>
  <c r="AP24" i="4"/>
  <c r="P47" i="4"/>
  <c r="P44" i="4"/>
  <c r="K47" i="4" l="1"/>
  <c r="EE47" i="4"/>
  <c r="EE44" i="4"/>
  <c r="K44" i="4"/>
  <c r="K68" i="4"/>
  <c r="EE68" i="4"/>
  <c r="AO24" i="4"/>
  <c r="AP25" i="4"/>
  <c r="AO25" i="4" s="1"/>
  <c r="AV23" i="4"/>
  <c r="AV54" i="4" s="1"/>
  <c r="AV58" i="4" s="1"/>
  <c r="P61" i="4"/>
  <c r="EF47" i="4" l="1"/>
  <c r="AO54" i="4"/>
  <c r="AO58" i="4" s="1"/>
  <c r="AP54" i="4"/>
  <c r="AP58" i="4" s="1"/>
  <c r="DX65" i="130"/>
  <c r="EH68" i="4"/>
  <c r="D176" i="131"/>
  <c r="L203" i="73"/>
  <c r="M203" i="73" s="1"/>
  <c r="D156" i="131"/>
  <c r="E156" i="131" s="1"/>
  <c r="F156" i="131" s="1"/>
  <c r="G156" i="131" s="1"/>
  <c r="H156" i="131" s="1"/>
  <c r="I156" i="131" s="1"/>
  <c r="K10" i="140"/>
  <c r="K11" i="140" s="1"/>
  <c r="DX43" i="130"/>
  <c r="L181" i="73"/>
  <c r="M181" i="73" s="1"/>
  <c r="EH44" i="4"/>
  <c r="EF44" i="4"/>
  <c r="EE61" i="4"/>
  <c r="K61" i="4"/>
  <c r="V94" i="94"/>
  <c r="W94" i="94" s="1"/>
  <c r="R40" i="85"/>
  <c r="S40" i="85" s="1"/>
  <c r="P50" i="4"/>
  <c r="P54" i="4" s="1"/>
  <c r="P58" i="4" s="1"/>
  <c r="DX46" i="130"/>
  <c r="EH47" i="4"/>
  <c r="D159" i="131"/>
  <c r="E159" i="131" s="1"/>
  <c r="F159" i="131" s="1"/>
  <c r="G159" i="131" s="1"/>
  <c r="H159" i="131" s="1"/>
  <c r="I159" i="131" s="1"/>
  <c r="L184" i="73"/>
  <c r="M184" i="73" s="1"/>
  <c r="AU23" i="4"/>
  <c r="AU54" i="4" s="1"/>
  <c r="AU58" i="4" s="1"/>
  <c r="AV77" i="4"/>
  <c r="AP77" i="4"/>
  <c r="M23" i="125"/>
  <c r="N23" i="125" s="1"/>
  <c r="K25" i="4"/>
  <c r="EE25" i="4"/>
  <c r="M23" i="123"/>
  <c r="N23" i="123" s="1"/>
  <c r="EE24" i="4"/>
  <c r="K24" i="4"/>
  <c r="AO77" i="4"/>
  <c r="EF24" i="4" l="1"/>
  <c r="EE50" i="4"/>
  <c r="K50" i="4"/>
  <c r="EF61" i="4"/>
  <c r="D169" i="131"/>
  <c r="D167" i="131" s="1"/>
  <c r="D198" i="131" s="1"/>
  <c r="L196" i="73"/>
  <c r="DX58" i="130"/>
  <c r="EH61" i="4"/>
  <c r="Q33" i="85"/>
  <c r="O326" i="94"/>
  <c r="O327" i="94" s="1"/>
  <c r="R25" i="85"/>
  <c r="S25" i="85" s="1"/>
  <c r="EF25" i="4"/>
  <c r="AU77" i="4"/>
  <c r="EE23" i="4"/>
  <c r="K23" i="4"/>
  <c r="DX25" i="130"/>
  <c r="K68" i="125"/>
  <c r="EH25" i="4"/>
  <c r="L162" i="73"/>
  <c r="M162" i="73" s="1"/>
  <c r="D138" i="131"/>
  <c r="E138" i="131" s="1"/>
  <c r="F138" i="131" s="1"/>
  <c r="G138" i="131" s="1"/>
  <c r="H138" i="131" s="1"/>
  <c r="I138" i="131" s="1"/>
  <c r="EH24" i="4"/>
  <c r="D137" i="131"/>
  <c r="K37" i="123"/>
  <c r="K38" i="123" s="1"/>
  <c r="L161" i="73"/>
  <c r="M161" i="73" s="1"/>
  <c r="DX24" i="130"/>
  <c r="K54" i="4" l="1"/>
  <c r="K58" i="4" s="1"/>
  <c r="P78" i="4" s="1"/>
  <c r="P70" i="4" s="1"/>
  <c r="M196" i="73"/>
  <c r="L194" i="73"/>
  <c r="M194" i="73" s="1"/>
  <c r="DX49" i="130"/>
  <c r="D162" i="131"/>
  <c r="E162" i="131" s="1"/>
  <c r="F162" i="131" s="1"/>
  <c r="G162" i="131" s="1"/>
  <c r="H162" i="131" s="1"/>
  <c r="I162" i="131" s="1"/>
  <c r="EH50" i="4"/>
  <c r="L187" i="73"/>
  <c r="M187" i="73" s="1"/>
  <c r="EF50" i="4"/>
  <c r="EH23" i="4"/>
  <c r="DX23" i="130"/>
  <c r="D136" i="131"/>
  <c r="E136" i="131" s="1"/>
  <c r="F136" i="131" s="1"/>
  <c r="G136" i="131" s="1"/>
  <c r="H136" i="131" s="1"/>
  <c r="I136" i="131" s="1"/>
  <c r="L160" i="73"/>
  <c r="EF23" i="4"/>
  <c r="E137" i="131"/>
  <c r="EH54" i="4" l="1"/>
  <c r="EH58" i="4" s="1"/>
  <c r="M160" i="73"/>
  <c r="L153" i="73"/>
  <c r="K70" i="4"/>
  <c r="K72" i="4" s="1"/>
  <c r="K77" i="4" s="1"/>
  <c r="K78" i="4" s="1"/>
  <c r="P72" i="4"/>
  <c r="P77" i="4" s="1"/>
  <c r="EE70" i="4"/>
  <c r="EF70" i="4" s="1"/>
  <c r="D129" i="131"/>
  <c r="D191" i="131" s="1"/>
  <c r="D192" i="131" s="1"/>
  <c r="D195" i="131" s="1"/>
  <c r="D199" i="131" s="1"/>
  <c r="R24" i="85"/>
  <c r="S24" i="85" s="1"/>
  <c r="C37" i="114"/>
  <c r="L226" i="73"/>
  <c r="R22" i="85"/>
  <c r="S22" i="85" s="1"/>
  <c r="F137" i="131"/>
  <c r="E129" i="131"/>
  <c r="DX67" i="130" l="1"/>
  <c r="D181" i="131"/>
  <c r="D180" i="131" s="1"/>
  <c r="EH70" i="4"/>
  <c r="EH72" i="4" s="1"/>
  <c r="EH77" i="4" s="1"/>
  <c r="L208" i="73"/>
  <c r="M208" i="73" s="1"/>
  <c r="L218" i="73"/>
  <c r="L220" i="73" s="1"/>
  <c r="M153" i="73"/>
  <c r="D118" i="131"/>
  <c r="D217" i="131" s="1"/>
  <c r="D218" i="131" s="1"/>
  <c r="R19" i="85"/>
  <c r="S19" i="85" s="1"/>
  <c r="L142" i="73"/>
  <c r="L229" i="73"/>
  <c r="L227" i="73"/>
  <c r="L252" i="73"/>
  <c r="G137" i="131"/>
  <c r="F129" i="131"/>
  <c r="E118" i="131"/>
  <c r="E191" i="131"/>
  <c r="E192" i="131" s="1"/>
  <c r="E195" i="131" s="1"/>
  <c r="E199" i="131" s="1"/>
  <c r="D185" i="131" l="1"/>
  <c r="D186" i="131" s="1"/>
  <c r="L219" i="73"/>
  <c r="L223" i="73" s="1"/>
  <c r="L228" i="73" s="1"/>
  <c r="L207" i="73"/>
  <c r="M207" i="73" s="1"/>
  <c r="L248" i="73"/>
  <c r="L249" i="73" s="1"/>
  <c r="M142" i="73"/>
  <c r="C36" i="114"/>
  <c r="D187" i="131"/>
  <c r="F191" i="131"/>
  <c r="F192" i="131" s="1"/>
  <c r="F195" i="131" s="1"/>
  <c r="F199" i="131" s="1"/>
  <c r="F118" i="131"/>
  <c r="E185" i="131"/>
  <c r="E187" i="131" s="1"/>
  <c r="E217" i="131"/>
  <c r="E218" i="131" s="1"/>
  <c r="H137" i="131"/>
  <c r="G129" i="131"/>
  <c r="L212" i="73" l="1"/>
  <c r="C38" i="114"/>
  <c r="L213" i="73"/>
  <c r="M213" i="73" s="1"/>
  <c r="M212" i="73"/>
  <c r="I137" i="131"/>
  <c r="I129" i="131" s="1"/>
  <c r="H129" i="131"/>
  <c r="F185" i="131"/>
  <c r="F187" i="131" s="1"/>
  <c r="F217" i="131"/>
  <c r="F218" i="131" s="1"/>
  <c r="L214" i="73"/>
  <c r="M214" i="73" s="1"/>
  <c r="G118" i="131"/>
  <c r="G191" i="131"/>
  <c r="G192" i="131" s="1"/>
  <c r="G195" i="131" s="1"/>
  <c r="G199" i="131" s="1"/>
  <c r="G217" i="131" l="1"/>
  <c r="G218" i="131" s="1"/>
  <c r="G185" i="131"/>
  <c r="G187" i="131" s="1"/>
  <c r="H118" i="131"/>
  <c r="H191" i="131"/>
  <c r="H192" i="131" s="1"/>
  <c r="H195" i="131" s="1"/>
  <c r="H199" i="131" s="1"/>
  <c r="I191" i="131"/>
  <c r="I192" i="131" s="1"/>
  <c r="I195" i="131" s="1"/>
  <c r="I199" i="131" s="1"/>
  <c r="I118" i="131"/>
  <c r="I185" i="131" l="1"/>
  <c r="I187" i="131" s="1"/>
  <c r="I217" i="131"/>
  <c r="I218" i="131" s="1"/>
  <c r="H185" i="131"/>
  <c r="H187" i="131" s="1"/>
  <c r="H217" i="131"/>
  <c r="H218" i="1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M6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<sst xmlns="http://schemas.openxmlformats.org/spreadsheetml/2006/main" count="10619" uniqueCount="3024">
  <si>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</si>
  <si>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</si>
  <si>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</si>
  <si>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</si>
  <si>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</si>
  <si>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</si>
  <si>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</si>
  <si>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</si>
  <si>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</si>
  <si>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</si>
  <si>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</si>
  <si>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</si>
  <si>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</si>
  <si>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</si>
  <si>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</si>
  <si>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</si>
  <si>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</si>
  <si>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</si>
  <si>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</si>
  <si>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</si>
  <si>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</si>
  <si>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</si>
  <si>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</si>
  <si>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</si>
  <si>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</si>
  <si>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</si>
  <si>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</si>
  <si>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</si>
  <si>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</si>
  <si>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</si>
  <si>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</si>
  <si>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</si>
  <si>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</si>
  <si>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</si>
  <si>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</si>
  <si>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</si>
  <si>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</si>
  <si>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</si>
  <si>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</si>
  <si>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</si>
  <si>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</si>
  <si>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</si>
  <si>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</si>
  <si>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</si>
  <si>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</si>
  <si>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</si>
  <si>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</si>
  <si>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</si>
  <si>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</si>
  <si>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</si>
  <si>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</si>
  <si>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</si>
  <si>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</si>
  <si>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</si>
  <si>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</si>
  <si>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</si>
  <si>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</si>
  <si>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</si>
  <si>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</si>
  <si>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</si>
  <si>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</si>
  <si>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</si>
  <si>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</si>
  <si>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</si>
  <si>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</si>
  <si>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</si>
  <si>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</si>
  <si>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</si>
  <si>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</si>
  <si>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</si>
  <si>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</si>
  <si>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</si>
  <si>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</si>
  <si>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</si>
  <si>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</si>
  <si>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</si>
  <si>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</si>
  <si>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</si>
  <si>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</si>
  <si>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</si>
  <si>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</si>
  <si>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</si>
  <si>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</si>
  <si>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</si>
  <si>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</si>
  <si>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</si>
  <si>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</si>
  <si>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</si>
  <si>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</si>
  <si>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</si>
  <si>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</si>
  <si>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</si>
  <si>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</si>
  <si>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</si>
  <si>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</si>
  <si>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</si>
  <si>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</si>
  <si>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</si>
  <si>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</si>
  <si>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</si>
  <si>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</si>
  <si>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</si>
  <si>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</si>
  <si>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</si>
  <si>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</si>
  <si>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</si>
  <si>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</si>
  <si>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</si>
  <si>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</si>
  <si>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</si>
  <si>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</si>
  <si>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</si>
  <si>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</si>
  <si>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</si>
  <si>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</si>
  <si>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</si>
  <si>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</si>
  <si>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</si>
  <si>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</si>
  <si>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</si>
  <si>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</si>
  <si>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</si>
  <si>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</si>
  <si>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</si>
  <si>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</si>
  <si>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</si>
  <si>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</si>
  <si>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</si>
  <si>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</si>
  <si>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</si>
  <si>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</si>
  <si>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</si>
  <si>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</si>
  <si>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</si>
  <si>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</si>
  <si>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</si>
  <si>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</si>
  <si>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</si>
  <si>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</si>
  <si>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</si>
  <si>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</si>
  <si>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</si>
  <si>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</si>
  <si>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</si>
  <si>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</si>
  <si>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</si>
  <si>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</si>
  <si>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</si>
  <si>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</si>
  <si>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</si>
  <si>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</si>
  <si>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</si>
  <si>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</si>
  <si>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</si>
  <si>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</si>
  <si>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</si>
  <si>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</si>
  <si>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</si>
  <si>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</si>
  <si>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</si>
  <si>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</si>
  <si>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</si>
  <si>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</si>
  <si>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</si>
  <si>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</si>
  <si>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</si>
  <si>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</si>
  <si>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</si>
  <si>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</si>
  <si>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</si>
  <si>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</si>
  <si>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</si>
  <si>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</si>
  <si>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</si>
  <si>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</si>
  <si>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</si>
  <si>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</si>
  <si>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</si>
  <si>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</si>
  <si>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</si>
  <si>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</si>
  <si>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</si>
  <si>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</si>
  <si>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</si>
  <si>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</si>
  <si>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</si>
  <si>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</si>
  <si>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</si>
  <si>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</si>
  <si>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</si>
  <si>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</si>
  <si>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</si>
  <si>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</si>
  <si>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</si>
  <si>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</si>
  <si>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</si>
  <si>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</si>
  <si>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</si>
  <si>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</si>
  <si>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</si>
  <si>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</si>
  <si>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</si>
  <si>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</si>
  <si>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</si>
  <si>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</si>
  <si>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</si>
  <si>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</si>
  <si>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</si>
  <si>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</si>
  <si>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</si>
  <si>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</si>
  <si>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</si>
  <si>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</si>
  <si>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</si>
  <si>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</si>
  <si>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</si>
  <si>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</si>
  <si>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</si>
  <si>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</si>
  <si>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</si>
  <si>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</si>
  <si>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</si>
  <si>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</si>
  <si>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</si>
  <si>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</si>
  <si>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</si>
  <si>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</si>
  <si>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</si>
  <si>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</si>
  <si>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</si>
  <si>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</si>
  <si>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</si>
  <si>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</si>
  <si>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</si>
  <si>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</si>
  <si>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</si>
  <si>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</si>
  <si>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</si>
  <si>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</si>
  <si>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</si>
  <si>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</si>
  <si>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</si>
  <si>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</si>
  <si>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</si>
  <si>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</si>
  <si>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</si>
  <si>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</si>
  <si>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</si>
  <si>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</si>
  <si>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</si>
  <si>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</si>
  <si>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</si>
  <si>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</si>
  <si>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</si>
  <si>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</si>
  <si>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</si>
  <si>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</si>
  <si>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</si>
  <si>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</si>
  <si>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</si>
  <si>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</si>
  <si>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</si>
  <si>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</si>
  <si>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</si>
  <si>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</si>
  <si>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</si>
  <si>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</si>
  <si>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</si>
  <si>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</si>
  <si>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</si>
  <si>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</si>
  <si>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</si>
  <si>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</si>
  <si>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</si>
  <si>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</si>
  <si>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</si>
  <si>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</si>
  <si>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</si>
  <si>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</si>
  <si>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</si>
  <si>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</si>
  <si>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</si>
  <si>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</si>
  <si>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</si>
  <si>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</si>
  <si>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</si>
  <si>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</si>
  <si>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</si>
  <si>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</si>
  <si>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</si>
  <si>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</si>
  <si>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</si>
  <si>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</si>
  <si>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</si>
  <si>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</si>
  <si>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</si>
  <si>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</si>
  <si>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</si>
  <si>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</si>
  <si>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</si>
  <si>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</si>
  <si>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</si>
  <si>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</si>
  <si>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</si>
  <si>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</si>
  <si>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</si>
  <si>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</si>
  <si>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</si>
  <si>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</si>
  <si>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</si>
  <si>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</si>
  <si>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</si>
  <si>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</si>
  <si>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</si>
  <si>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</si>
  <si>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</si>
  <si>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</si>
  <si>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</si>
  <si>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</si>
  <si>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</si>
  <si>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</si>
  <si>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</si>
  <si>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</si>
  <si>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</si>
  <si>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</si>
  <si>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</si>
  <si>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</si>
  <si>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</si>
  <si>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</si>
  <si>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</si>
  <si>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</si>
  <si>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</si>
  <si>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</si>
  <si>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</si>
  <si>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</si>
  <si>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</si>
  <si>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</si>
  <si>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</si>
  <si>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</si>
  <si>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</si>
  <si>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</si>
  <si>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</si>
  <si>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</si>
  <si>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</si>
  <si>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</si>
  <si>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</si>
  <si>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</si>
  <si>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</si>
  <si>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</si>
  <si>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</si>
  <si>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</si>
  <si>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</si>
  <si>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</si>
  <si>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</si>
  <si>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</si>
  <si>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</si>
  <si>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</si>
  <si>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</si>
  <si>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</si>
  <si>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</si>
  <si>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</si>
  <si>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</si>
  <si>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</si>
  <si>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</si>
  <si>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</si>
  <si>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</si>
  <si>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</si>
  <si>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</si>
  <si>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</si>
  <si>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</si>
  <si>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</si>
  <si>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</si>
  <si>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</si>
  <si>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</si>
  <si>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</si>
  <si>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</si>
  <si>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</si>
  <si>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</si>
  <si>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</si>
  <si>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</si>
  <si>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</si>
  <si>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</si>
  <si>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</si>
  <si>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</si>
  <si>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</si>
  <si>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</si>
  <si>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</si>
  <si>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</si>
  <si>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</si>
  <si>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</si>
  <si>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</si>
  <si>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</si>
  <si>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</si>
  <si>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</si>
  <si>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</si>
  <si>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</si>
  <si>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</si>
  <si>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</si>
  <si>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</si>
  <si>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</si>
  <si>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</si>
  <si>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</si>
  <si>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</si>
  <si>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</si>
  <si>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</si>
  <si>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</si>
  <si>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</si>
  <si>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</si>
  <si>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</si>
  <si>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</si>
  <si>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</si>
  <si>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</si>
  <si>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</si>
  <si>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</si>
  <si>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</si>
  <si>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</si>
  <si>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</si>
  <si>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</si>
  <si>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</si>
  <si>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</si>
  <si>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</si>
  <si>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</si>
  <si>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</si>
  <si>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</si>
  <si>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</si>
  <si>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</si>
  <si>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</si>
  <si>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</si>
  <si>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</si>
  <si>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</si>
  <si>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</si>
  <si>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</si>
  <si>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</si>
  <si>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</si>
  <si>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</si>
  <si>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</si>
  <si>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</si>
  <si>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</si>
  <si>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</si>
  <si>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</si>
  <si>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</si>
  <si>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</si>
  <si>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</si>
  <si>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</si>
  <si>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</si>
  <si>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</si>
  <si>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</si>
  <si>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</si>
  <si>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</si>
  <si>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</si>
  <si>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</si>
  <si>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</si>
  <si>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</si>
  <si>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</si>
  <si>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</si>
  <si>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</si>
  <si>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</si>
  <si>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</si>
  <si>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</si>
  <si>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</si>
  <si>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</si>
  <si>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</si>
  <si>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</si>
  <si>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</si>
  <si>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</si>
  <si>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</si>
  <si>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</si>
  <si>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</si>
  <si>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</si>
  <si>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</si>
  <si>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</si>
  <si>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</si>
  <si>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</si>
  <si>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</si>
  <si>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</si>
  <si>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</si>
  <si>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</si>
  <si>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</si>
  <si>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</si>
  <si>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</si>
  <si>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</si>
  <si>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</si>
  <si>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</si>
  <si>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</si>
  <si>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</si>
  <si>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</si>
  <si>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</si>
  <si>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</si>
  <si>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</si>
  <si>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</si>
  <si>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</si>
  <si>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</si>
  <si>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</si>
  <si>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</si>
  <si>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</si>
  <si>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</si>
  <si>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</si>
  <si>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</si>
  <si>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</si>
  <si>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</si>
  <si>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</si>
  <si>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</si>
  <si>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</si>
  <si>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</si>
  <si>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</si>
  <si>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</si>
  <si>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</si>
  <si>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</si>
  <si>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</si>
  <si>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</si>
  <si>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</si>
  <si>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</si>
  <si>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</si>
  <si>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</si>
  <si>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</si>
  <si>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</si>
  <si>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</si>
  <si>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</si>
  <si>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</si>
  <si>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</si>
  <si>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</si>
  <si>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</si>
  <si>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</si>
  <si>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</si>
  <si>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</si>
  <si>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</si>
  <si>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</si>
  <si>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</si>
  <si>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</si>
  <si>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</si>
  <si>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</si>
  <si>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</si>
  <si>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</si>
  <si>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</si>
  <si>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</si>
  <si>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</si>
  <si>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</si>
  <si>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</si>
  <si>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</si>
  <si>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</si>
  <si>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</si>
  <si>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</si>
  <si>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</si>
  <si>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</si>
  <si>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</si>
  <si>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</si>
  <si>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</si>
  <si>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</si>
  <si>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</si>
  <si>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</si>
  <si>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</si>
  <si>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</si>
  <si>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</si>
  <si>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</si>
  <si>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</si>
  <si>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</si>
  <si>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</si>
  <si>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</si>
  <si>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</si>
  <si>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</si>
  <si>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</si>
  <si>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</si>
  <si>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</si>
  <si>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</si>
  <si>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</si>
  <si>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</si>
  <si>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</si>
  <si>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</si>
  <si>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</si>
  <si>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</si>
  <si>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</si>
  <si>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</si>
  <si>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</si>
  <si>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</si>
  <si>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</si>
  <si>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</si>
  <si>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</si>
  <si>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</si>
  <si>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</si>
  <si>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</si>
  <si>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</si>
  <si>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</si>
  <si>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</si>
  <si>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</si>
  <si>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</si>
  <si>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</si>
  <si>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</si>
  <si>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</si>
  <si>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</si>
  <si>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</si>
  <si>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</si>
  <si>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</si>
  <si>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</si>
  <si>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</si>
  <si>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</si>
  <si>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</si>
  <si>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</si>
  <si>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</si>
  <si>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</si>
  <si>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</si>
  <si>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</si>
  <si>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</si>
  <si>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</si>
  <si>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</si>
  <si>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</si>
  <si>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</si>
  <si>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</si>
  <si>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</si>
  <si>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</si>
  <si>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</si>
  <si>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</si>
  <si>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</si>
  <si>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</si>
  <si>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</si>
  <si>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</si>
  <si>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</si>
  <si>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</si>
  <si>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</si>
  <si>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</si>
  <si>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</si>
  <si>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</si>
  <si>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</si>
  <si>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</si>
  <si>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</si>
  <si>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</si>
  <si>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</si>
  <si>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</si>
  <si>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</si>
  <si>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</si>
  <si>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</si>
  <si>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</si>
  <si>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</si>
  <si>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</si>
  <si>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</si>
  <si>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</si>
  <si>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</si>
  <si>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</si>
  <si>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</si>
  <si>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</si>
  <si>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</si>
  <si>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</si>
  <si>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</si>
  <si>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</si>
  <si>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</si>
  <si>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</si>
  <si>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</si>
  <si>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</si>
  <si>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</si>
  <si>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</si>
  <si>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</si>
  <si>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</si>
  <si>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</si>
  <si>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</si>
  <si>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</si>
  <si>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</si>
  <si>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</si>
  <si>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</si>
  <si>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</si>
  <si>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</si>
  <si>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</si>
  <si>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</si>
  <si>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</si>
  <si>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</si>
  <si>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</si>
  <si>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</si>
  <si>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</si>
  <si>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</si>
  <si>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</si>
  <si>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</si>
  <si>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</si>
  <si>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</si>
  <si>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</si>
  <si>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</si>
  <si>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</si>
  <si>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</si>
  <si>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</si>
  <si>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</si>
  <si>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</si>
  <si>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</si>
  <si>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</si>
  <si>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</si>
  <si>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</si>
  <si>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</si>
  <si>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</si>
  <si>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</si>
  <si>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</si>
  <si>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</si>
  <si>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</si>
  <si>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</si>
  <si>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</si>
  <si>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</si>
  <si>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</si>
  <si>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</si>
  <si>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</si>
  <si>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</si>
  <si>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</si>
  <si>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</si>
  <si>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</si>
  <si>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</si>
  <si>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</si>
  <si>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</si>
  <si>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</si>
  <si>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</si>
  <si>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</si>
  <si>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</si>
  <si>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</si>
  <si>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</si>
  <si>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</si>
  <si>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</si>
  <si>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</si>
  <si>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</si>
  <si>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</si>
  <si>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</si>
  <si>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</si>
  <si>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</si>
  <si>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</si>
  <si>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</si>
  <si>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</si>
  <si>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</si>
  <si>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</si>
  <si>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</si>
  <si>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</si>
  <si>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</si>
  <si>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</si>
  <si>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</si>
  <si>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</si>
  <si>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</si>
  <si>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</si>
  <si>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</si>
  <si>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</si>
  <si>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</si>
  <si>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</si>
  <si>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</si>
  <si>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</si>
  <si>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</si>
  <si>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</si>
  <si>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</si>
  <si>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</si>
  <si>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</si>
  <si>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</si>
  <si>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</si>
  <si>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</si>
  <si>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</si>
  <si>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</si>
  <si>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</si>
  <si>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</si>
  <si>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</si>
  <si>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</si>
  <si>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</si>
  <si>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</si>
  <si>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</si>
  <si>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</si>
  <si>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</si>
  <si>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</si>
  <si>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</si>
  <si>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</si>
  <si>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</si>
  <si>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</si>
  <si>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</si>
  <si>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</si>
  <si>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</si>
  <si>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</si>
  <si>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</si>
  <si>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</si>
  <si>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</si>
  <si>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</si>
  <si>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</si>
  <si>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</si>
  <si>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</si>
  <si>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</si>
  <si>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</si>
  <si>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</si>
  <si>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</si>
  <si>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</si>
  <si>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</si>
  <si>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</si>
  <si>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</si>
  <si>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</si>
  <si>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</si>
  <si>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</si>
  <si>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</si>
  <si>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</si>
  <si>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</si>
  <si>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</si>
  <si>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</si>
  <si>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</si>
  <si>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</si>
  <si>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Splátky úvěru</t>
  </si>
  <si>
    <t>Celkové saldo běžného provozu</t>
  </si>
  <si>
    <t>zapojení úspor z minulých let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</si>
  <si>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</si>
  <si>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</si>
  <si>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</si>
  <si>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</si>
  <si>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</si>
  <si>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</si>
  <si>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</si>
  <si>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</si>
  <si>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</si>
  <si>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</si>
  <si>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</si>
  <si>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</si>
  <si>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</si>
  <si>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</si>
  <si>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</si>
  <si>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</si>
  <si>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</si>
  <si>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</si>
  <si>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</si>
  <si>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</si>
  <si>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</si>
  <si>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</si>
  <si>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</si>
  <si>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</si>
  <si>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</si>
  <si>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</si>
  <si>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</si>
  <si>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</si>
  <si>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</si>
  <si>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</si>
  <si>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</si>
  <si>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</si>
  <si>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</si>
  <si>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</si>
  <si>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</si>
  <si>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</si>
  <si>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</si>
  <si>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</si>
  <si>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</si>
  <si>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</si>
  <si>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</si>
  <si>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</si>
  <si>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</si>
  <si>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</si>
  <si>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</si>
  <si>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</si>
  <si>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</si>
  <si>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</si>
  <si>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</si>
  <si>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</si>
  <si>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</si>
  <si>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</si>
  <si>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</si>
  <si>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</si>
  <si>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</si>
  <si>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</si>
  <si>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</si>
  <si>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</si>
  <si>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</si>
  <si>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</si>
  <si>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</si>
  <si>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</si>
  <si>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</si>
  <si>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</si>
  <si>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</si>
  <si>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</si>
  <si>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</si>
  <si>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</si>
  <si>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</si>
  <si>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</si>
  <si>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</si>
  <si>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</si>
  <si>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</si>
  <si>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</si>
  <si>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</si>
  <si>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</si>
  <si>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</si>
  <si>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</si>
  <si>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</si>
  <si>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</si>
  <si>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</si>
  <si>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</si>
  <si>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</si>
  <si>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</si>
  <si>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</si>
  <si>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</si>
  <si>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</si>
  <si>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</si>
  <si>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</si>
  <si>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</si>
  <si>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</si>
  <si>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</si>
  <si>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</si>
  <si>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</si>
  <si>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</si>
  <si>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</si>
  <si>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</si>
  <si>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</si>
  <si>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</si>
  <si>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</si>
  <si>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</si>
  <si>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</si>
  <si>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</si>
  <si>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</si>
  <si>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</si>
  <si>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</si>
  <si>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</si>
  <si>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</si>
  <si>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</si>
  <si>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</si>
  <si>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</si>
  <si>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</si>
  <si>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</si>
  <si>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</si>
  <si>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</si>
  <si>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</si>
  <si>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</si>
  <si>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</si>
  <si>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</si>
  <si>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</si>
  <si>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</si>
  <si>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</si>
  <si>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</si>
  <si>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</si>
  <si>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</si>
  <si>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</si>
  <si>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</si>
  <si>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</si>
  <si>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</si>
  <si>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</si>
  <si>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</si>
  <si>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</si>
  <si>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</si>
  <si>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</si>
  <si>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</si>
  <si>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</si>
  <si>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</si>
  <si>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</si>
  <si>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</si>
  <si>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</si>
  <si>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</si>
  <si>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</si>
  <si>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</si>
  <si>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</si>
  <si>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</si>
  <si>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</si>
  <si>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</si>
  <si>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</si>
  <si>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</si>
  <si>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</si>
  <si>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</si>
  <si>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</si>
  <si>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</si>
  <si>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</si>
  <si>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</si>
  <si>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</si>
  <si>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</si>
  <si>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</si>
  <si>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</si>
  <si>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</si>
  <si>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</si>
  <si>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</si>
  <si>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</si>
  <si>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</si>
  <si>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</si>
  <si>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</si>
  <si>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</si>
  <si>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</si>
  <si>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</si>
  <si>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</si>
  <si>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</si>
  <si>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</si>
  <si>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</si>
  <si>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</si>
  <si>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</si>
  <si>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</si>
  <si>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</si>
  <si>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Neivestiční příspěvek, přísp.org., sociální fond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</si>
  <si>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</si>
  <si>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</si>
  <si>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</si>
  <si>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</si>
  <si>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</si>
  <si>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</si>
  <si>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</si>
  <si>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</si>
  <si>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</si>
  <si>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</si>
  <si>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</si>
  <si>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</si>
  <si>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</si>
  <si>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</si>
  <si>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</si>
  <si>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</si>
  <si>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</si>
  <si>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</si>
  <si>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</si>
  <si>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</si>
  <si>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</si>
  <si>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</si>
  <si>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</si>
  <si>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</si>
  <si>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</si>
  <si>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</si>
  <si>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</si>
  <si>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</si>
  <si>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</si>
  <si>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</si>
  <si>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</si>
  <si>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</si>
  <si>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</si>
  <si>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</si>
  <si>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</si>
  <si>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</si>
  <si>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</si>
  <si>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</si>
  <si>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</si>
  <si>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</si>
  <si>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</si>
  <si>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</si>
  <si>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</si>
  <si>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</si>
  <si>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</si>
  <si>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</si>
  <si>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</si>
  <si>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</si>
  <si>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</si>
  <si>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</si>
  <si>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</si>
  <si>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</si>
  <si>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</si>
  <si>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</si>
  <si>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</si>
  <si>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</si>
  <si>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</si>
  <si>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</si>
  <si>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</si>
  <si>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</si>
  <si>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</si>
  <si>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</si>
  <si>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</si>
  <si>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</si>
  <si>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</si>
  <si>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</si>
  <si>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</si>
  <si>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</si>
  <si>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</si>
  <si>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</si>
  <si>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</si>
  <si>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</si>
  <si>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</si>
  <si>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</si>
  <si>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</si>
  <si>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</si>
  <si>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</si>
  <si>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</si>
  <si>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</si>
  <si>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</si>
  <si>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</si>
  <si>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</si>
  <si>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</si>
  <si>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</si>
  <si>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</si>
  <si>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</si>
  <si>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</si>
  <si>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</si>
  <si>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</si>
  <si>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</si>
  <si>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</si>
  <si>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</si>
  <si>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</si>
  <si>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</si>
  <si>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</si>
  <si>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</si>
  <si>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</si>
  <si>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</si>
  <si>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</si>
  <si>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</si>
  <si>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</si>
  <si>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</si>
  <si>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</si>
  <si>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</si>
  <si>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</si>
  <si>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</si>
  <si>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</si>
  <si>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</si>
  <si>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</si>
  <si>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</si>
  <si>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</si>
  <si>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</si>
  <si>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</si>
  <si>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</si>
  <si>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</si>
  <si>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</si>
  <si>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</si>
  <si>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</si>
  <si>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</si>
  <si>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</si>
  <si>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</si>
  <si>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</si>
  <si>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</si>
  <si>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</si>
  <si>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</si>
  <si>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</si>
  <si>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</si>
  <si>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</si>
  <si>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</si>
  <si>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</si>
  <si>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</si>
  <si>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</si>
  <si>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</si>
  <si>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</si>
  <si>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</si>
  <si>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</si>
  <si>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</si>
  <si>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</si>
  <si>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</si>
  <si>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</si>
  <si>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</si>
  <si>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</si>
  <si>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</si>
  <si>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</si>
  <si>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</si>
  <si>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</si>
  <si>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</si>
  <si>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</si>
  <si>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</si>
  <si>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</si>
  <si>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</si>
  <si>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</si>
  <si>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</si>
  <si>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</si>
  <si>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</si>
  <si>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</si>
  <si>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</si>
  <si>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</si>
  <si>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</si>
  <si>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</si>
  <si>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</si>
  <si>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</si>
  <si>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</si>
  <si>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</si>
  <si>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</si>
  <si>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</si>
  <si>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</si>
  <si>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</si>
  <si>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</si>
  <si>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</si>
  <si>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</si>
  <si>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</si>
  <si>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</si>
  <si>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</si>
  <si>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</si>
  <si>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</si>
  <si>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</si>
  <si>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</si>
  <si>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</si>
  <si>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</si>
  <si>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</si>
  <si>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</si>
  <si>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</si>
  <si>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</si>
  <si>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</si>
  <si>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</si>
  <si>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</si>
  <si>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</si>
  <si>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</si>
  <si>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</si>
  <si>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</si>
  <si>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</si>
  <si>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</si>
  <si>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</si>
  <si>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</si>
  <si>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</si>
  <si>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</si>
  <si>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</si>
  <si>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</si>
  <si>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</si>
  <si>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</si>
  <si>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</si>
  <si>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</si>
  <si>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</si>
  <si>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</si>
  <si>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</si>
  <si>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</si>
  <si>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</si>
  <si>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</si>
  <si>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</si>
  <si>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</si>
  <si>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</si>
  <si>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</si>
  <si>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</si>
  <si>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</si>
  <si>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</si>
  <si>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</si>
  <si>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</si>
  <si>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</si>
  <si>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</si>
  <si>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</si>
  <si>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Park Satjam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</si>
  <si>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</si>
  <si>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</si>
  <si>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</si>
  <si>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</si>
  <si>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</si>
  <si>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</si>
  <si>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</si>
  <si>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</si>
  <si>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</si>
  <si>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</si>
  <si>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</si>
  <si>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</si>
  <si>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</si>
  <si>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</si>
  <si>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</si>
  <si>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</si>
  <si>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</si>
  <si>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</si>
  <si>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</si>
  <si>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</si>
  <si>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</si>
  <si>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</si>
  <si>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</si>
  <si>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</si>
  <si>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</si>
  <si>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</si>
  <si>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</si>
  <si>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</si>
  <si>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</si>
  <si>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</si>
  <si>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</si>
  <si>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</si>
  <si>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</si>
  <si>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</si>
  <si>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</si>
  <si>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</si>
  <si>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</si>
  <si>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</si>
  <si>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</si>
  <si>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</si>
  <si>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</si>
  <si>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</si>
  <si>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</si>
  <si>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</si>
  <si>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</si>
  <si>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</si>
  <si>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</si>
  <si>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</si>
  <si>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</si>
  <si>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</si>
  <si>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</si>
  <si>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</si>
  <si>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</si>
  <si>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</si>
  <si>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</si>
  <si>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</si>
  <si>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</si>
  <si>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</si>
  <si>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</si>
  <si>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</si>
  <si>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</si>
  <si>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</si>
  <si>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</si>
  <si>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</si>
  <si>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</si>
  <si>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</si>
  <si>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</si>
  <si>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</si>
  <si>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</si>
  <si>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</si>
  <si>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</si>
  <si>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</si>
  <si>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</si>
  <si>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</si>
  <si>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</si>
  <si>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</si>
  <si>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</si>
  <si>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</si>
  <si>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</si>
  <si>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</si>
  <si>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</si>
  <si>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</si>
  <si>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</si>
  <si>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</si>
  <si>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</si>
  <si>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</si>
  <si>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</si>
  <si>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</si>
  <si>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</si>
  <si>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</si>
  <si>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</si>
  <si>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</si>
  <si>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</si>
  <si>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</si>
  <si>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</si>
  <si>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</si>
  <si>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</si>
  <si>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</si>
  <si>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</si>
  <si>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</si>
  <si>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</si>
  <si>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</si>
  <si>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</si>
  <si>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</si>
  <si>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</si>
  <si>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</si>
  <si>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</si>
  <si>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</si>
  <si>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</si>
  <si>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</si>
  <si>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</si>
  <si>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</si>
  <si>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</si>
  <si>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</si>
  <si>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</si>
  <si>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</si>
  <si>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</si>
  <si>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</si>
  <si>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</si>
  <si>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</si>
  <si>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</si>
  <si>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</si>
  <si>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</si>
  <si>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</si>
  <si>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</si>
  <si>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</si>
  <si>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</si>
  <si>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</si>
  <si>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</si>
  <si>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</si>
  <si>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</si>
  <si>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</si>
  <si>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</si>
  <si>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</si>
  <si>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</si>
  <si>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</si>
  <si>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</si>
  <si>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</si>
  <si>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</si>
  <si>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</si>
  <si>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</si>
  <si>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</si>
  <si>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</si>
  <si>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</si>
  <si>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</si>
  <si>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</si>
  <si>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</si>
  <si>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</si>
  <si>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</si>
  <si>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</si>
  <si>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</si>
  <si>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</si>
  <si>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</si>
  <si>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</si>
  <si>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</si>
  <si>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</si>
  <si>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</si>
  <si>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</si>
  <si>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</si>
  <si>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</si>
  <si>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</si>
  <si>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</si>
  <si>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</si>
  <si>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</si>
  <si>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</si>
  <si>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</si>
  <si>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</si>
  <si>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</si>
  <si>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</si>
  <si>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</si>
  <si>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</si>
  <si>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</si>
  <si>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</si>
  <si>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</si>
  <si>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</si>
  <si>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</si>
  <si>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</si>
  <si>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</si>
  <si>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</si>
  <si>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</si>
  <si>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</si>
  <si>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</si>
  <si>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</si>
  <si>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</si>
  <si>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</si>
  <si>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</si>
  <si>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</si>
  <si>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</si>
  <si>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</si>
  <si>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</si>
  <si>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</si>
  <si>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</si>
  <si>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</si>
  <si>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</si>
  <si>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</si>
  <si>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</si>
  <si>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</si>
  <si>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</si>
  <si>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</si>
  <si>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</si>
  <si>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</si>
  <si>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</si>
  <si>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</si>
  <si>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</si>
  <si>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</si>
  <si>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</si>
  <si>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</si>
  <si>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</si>
  <si>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</si>
  <si>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</si>
  <si>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</si>
  <si>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</si>
  <si>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</si>
  <si>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</si>
  <si>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</si>
  <si>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</si>
  <si>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</si>
  <si>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</si>
  <si>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</si>
  <si>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</si>
  <si>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</si>
  <si>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</si>
  <si>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</si>
  <si>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</si>
  <si>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</si>
  <si>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</si>
  <si>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</si>
  <si>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</si>
  <si>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</si>
  <si>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</si>
  <si>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</si>
  <si>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</si>
  <si>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</si>
  <si>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</si>
  <si>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</si>
  <si>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</si>
  <si>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</si>
  <si>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</si>
  <si>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</si>
  <si>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</si>
  <si>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</si>
  <si>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</si>
  <si>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</si>
  <si>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</si>
  <si>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</si>
  <si>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</si>
  <si>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</si>
  <si>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</si>
  <si>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</si>
  <si>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</si>
  <si>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</si>
  <si>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</si>
  <si>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</si>
  <si>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</si>
  <si>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</si>
  <si>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</si>
  <si>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</si>
  <si>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</si>
  <si>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</si>
  <si>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</si>
  <si>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</si>
  <si>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</si>
  <si>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</si>
  <si>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</si>
  <si>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</si>
  <si>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</si>
  <si>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</si>
  <si>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</si>
  <si>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</si>
  <si>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</si>
  <si>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</si>
  <si>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</si>
  <si>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</si>
  <si>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</si>
  <si>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</si>
  <si>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</si>
  <si>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</si>
  <si>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</si>
  <si>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</si>
  <si>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</si>
  <si>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</si>
  <si>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</si>
  <si>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</si>
  <si>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</si>
  <si>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</si>
  <si>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</si>
  <si>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</si>
  <si>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</si>
  <si>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</si>
  <si>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</si>
  <si>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</si>
  <si>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</si>
  <si>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</si>
  <si>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</si>
  <si>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</si>
  <si>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</si>
  <si>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</si>
  <si>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</si>
  <si>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</si>
  <si>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</si>
  <si>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</si>
  <si>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</si>
  <si>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</si>
  <si>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</si>
  <si>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</si>
  <si>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</si>
  <si>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</si>
  <si>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</si>
  <si>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</si>
  <si>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</si>
  <si>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</si>
  <si>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</si>
  <si>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</si>
  <si>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</si>
  <si>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</si>
  <si>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</si>
  <si>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</si>
  <si>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</si>
  <si>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</si>
  <si>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</si>
  <si>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</si>
  <si>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</si>
  <si>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</si>
  <si>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</si>
  <si>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</si>
  <si>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</si>
  <si>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</si>
  <si>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</si>
  <si>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</si>
  <si>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</si>
  <si>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</si>
  <si>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</si>
  <si>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</si>
  <si>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</si>
  <si>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</si>
  <si>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</si>
  <si>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</si>
  <si>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</si>
  <si>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</si>
  <si>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</si>
  <si>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</si>
  <si>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</si>
  <si>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</si>
  <si>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</si>
  <si>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</si>
  <si>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</si>
  <si>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</si>
  <si>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</si>
  <si>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</si>
  <si>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</si>
  <si>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</si>
  <si>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</si>
  <si>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</si>
  <si>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</si>
  <si>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</si>
  <si>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</si>
  <si>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</si>
  <si>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</si>
  <si>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</si>
  <si>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</si>
  <si>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</si>
  <si>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</si>
  <si>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</si>
  <si>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</si>
  <si>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</si>
  <si>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</si>
  <si>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</si>
  <si>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</si>
  <si>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</si>
  <si>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</si>
  <si>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</si>
  <si>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</si>
  <si>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</si>
  <si>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</si>
  <si>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</si>
  <si>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</si>
  <si>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</si>
  <si>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</si>
  <si>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</si>
  <si>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</si>
  <si>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</si>
  <si>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</si>
  <si>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</si>
  <si>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</si>
  <si>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</si>
  <si>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</si>
  <si>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</si>
  <si>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</si>
  <si>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</si>
  <si>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</si>
  <si>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</si>
  <si>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</si>
  <si>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</si>
  <si>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</si>
  <si>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</si>
  <si>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</si>
  <si>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</si>
  <si>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</si>
  <si>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</si>
  <si>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</si>
  <si>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</si>
  <si>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</si>
  <si>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</si>
  <si>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</si>
  <si>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</si>
  <si>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</si>
  <si>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</si>
  <si>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</si>
  <si>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</si>
  <si>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</si>
  <si>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</si>
  <si>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</si>
  <si>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</si>
  <si>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</si>
  <si>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</si>
  <si>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</si>
  <si>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</si>
  <si>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</si>
  <si>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</si>
  <si>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</si>
  <si>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</si>
  <si>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</si>
  <si>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</si>
  <si>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</si>
  <si>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</si>
  <si>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</si>
  <si>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</si>
  <si>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</si>
  <si>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</si>
  <si>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</si>
  <si>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</si>
  <si>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</si>
  <si>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</si>
  <si>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</si>
  <si>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</si>
  <si>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</si>
  <si>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</si>
  <si>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</si>
  <si>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</si>
  <si>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</si>
  <si>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</si>
  <si>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</si>
  <si>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</si>
  <si>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</si>
  <si>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</si>
  <si>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</si>
  <si>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</si>
  <si>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</si>
  <si>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</si>
  <si>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</si>
  <si>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</si>
  <si>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</si>
  <si>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</si>
  <si>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</si>
  <si>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</si>
  <si>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</si>
  <si>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</si>
  <si>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</si>
  <si>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</si>
  <si>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</si>
  <si>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</si>
  <si>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</si>
  <si>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</si>
  <si>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</si>
  <si>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</si>
  <si>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</si>
  <si>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</si>
  <si>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</si>
  <si>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</si>
  <si>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</si>
  <si>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</si>
  <si>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</si>
  <si>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</si>
  <si>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</si>
  <si>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</si>
  <si>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</si>
  <si>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</si>
  <si>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</si>
  <si>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</si>
  <si>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</si>
  <si>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</si>
  <si>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</si>
  <si>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</si>
  <si>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</si>
  <si>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</si>
  <si>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</si>
  <si>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</si>
  <si>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</si>
  <si>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</si>
  <si>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</si>
  <si>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</si>
  <si>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</si>
  <si>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</si>
  <si>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</si>
  <si>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</si>
  <si>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</si>
  <si>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</si>
  <si>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</si>
  <si>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</si>
  <si>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</si>
  <si>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</si>
  <si>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</si>
  <si>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</si>
  <si>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</si>
  <si>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</si>
  <si>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</si>
  <si>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</si>
  <si>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</si>
  <si>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</si>
  <si>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</si>
  <si>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</si>
  <si>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</si>
  <si>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</si>
  <si>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</si>
  <si>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</si>
  <si>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</si>
  <si>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</si>
  <si>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</si>
  <si>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</si>
  <si>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</si>
  <si>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</si>
  <si>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</si>
  <si>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</si>
  <si>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</si>
  <si>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</si>
  <si>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</si>
  <si>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</si>
  <si>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</si>
  <si>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</si>
  <si>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</si>
  <si>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</si>
  <si>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</si>
  <si>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</si>
  <si>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</si>
  <si>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</si>
  <si>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</si>
  <si>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</si>
  <si>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</si>
  <si>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</si>
  <si>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</si>
  <si>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</si>
  <si>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</si>
  <si>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</si>
  <si>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</si>
  <si>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</si>
  <si>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</si>
  <si>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</si>
  <si>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</si>
  <si>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</si>
  <si>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</si>
  <si>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</si>
  <si>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</si>
  <si>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</si>
  <si>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</si>
  <si>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</si>
  <si>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</si>
  <si>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</si>
  <si>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</si>
  <si>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</si>
  <si>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</si>
  <si>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</si>
  <si>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</si>
  <si>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</si>
  <si>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</si>
  <si>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</si>
  <si>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</si>
  <si>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</si>
  <si>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</si>
  <si>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</si>
  <si>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</si>
  <si>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</si>
  <si>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</si>
  <si>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</si>
  <si>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</si>
  <si>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</si>
  <si>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</si>
  <si>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</si>
  <si>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</si>
  <si>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</si>
  <si>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</si>
  <si>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</si>
  <si>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</si>
  <si>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</si>
  <si>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</si>
  <si>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</si>
  <si>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</si>
  <si>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</si>
  <si>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</si>
  <si>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</si>
  <si>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</si>
  <si>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</si>
  <si>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</si>
  <si>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</si>
  <si>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</si>
  <si>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</si>
  <si>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</si>
  <si>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</si>
  <si>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</si>
  <si>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</si>
  <si>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</si>
  <si>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</si>
  <si>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</si>
  <si>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</si>
  <si>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</si>
  <si>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</si>
  <si>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</si>
  <si>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</si>
  <si>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</si>
  <si>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</si>
  <si>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</si>
  <si>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</si>
  <si>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</si>
  <si>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</si>
  <si>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</si>
  <si>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</si>
  <si>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</si>
  <si>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</si>
  <si>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</si>
  <si>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</si>
  <si>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</si>
  <si>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</si>
  <si>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</si>
  <si>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</si>
  <si>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</si>
  <si>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</si>
  <si>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</si>
  <si>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</si>
  <si>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</si>
  <si>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</si>
  <si>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</si>
  <si>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</si>
  <si>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</si>
  <si>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</si>
  <si>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</si>
  <si>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</si>
  <si>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</si>
  <si>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</si>
  <si>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</si>
  <si>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</si>
  <si>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</si>
  <si>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</si>
  <si>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</si>
  <si>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</si>
  <si>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</si>
  <si>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</si>
  <si>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</si>
  <si>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</si>
  <si>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</si>
  <si>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</si>
  <si>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</si>
  <si>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</si>
  <si>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</si>
  <si>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</si>
  <si>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</si>
  <si>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</si>
  <si>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</si>
  <si>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</si>
  <si>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</si>
  <si>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</si>
  <si>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</si>
  <si>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</si>
  <si>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</si>
  <si>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</si>
  <si>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</si>
  <si>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</si>
  <si>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</si>
  <si>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</si>
  <si>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</si>
  <si>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</si>
  <si>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</si>
  <si>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</si>
  <si>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</si>
  <si>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</si>
  <si>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</si>
  <si>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</si>
  <si>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</si>
  <si>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</si>
  <si>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</si>
  <si>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</si>
  <si>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</si>
  <si>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</si>
  <si>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</si>
  <si>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</si>
  <si>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</si>
  <si>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</si>
  <si>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</si>
  <si>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</si>
  <si>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</si>
  <si>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</si>
  <si>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</si>
  <si>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</si>
  <si>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</si>
  <si>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</si>
  <si>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</si>
  <si>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</si>
  <si>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</si>
  <si>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</si>
  <si>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</si>
  <si>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</si>
  <si>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</si>
  <si>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</si>
  <si>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</si>
  <si>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</si>
  <si>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</si>
  <si>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</si>
  <si>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</si>
  <si>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</si>
  <si>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</si>
  <si>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</si>
  <si>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</si>
  <si>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</si>
  <si>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</si>
  <si>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</si>
  <si>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</si>
  <si>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</si>
  <si>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</si>
  <si>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</si>
  <si>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</si>
  <si>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</si>
  <si>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</si>
  <si>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</si>
  <si>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</si>
  <si>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</si>
  <si>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</si>
  <si>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</si>
  <si>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</si>
  <si>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</si>
  <si>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</si>
  <si>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</si>
  <si>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</si>
  <si>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</si>
  <si>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</si>
  <si>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</si>
  <si>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</si>
  <si>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</si>
  <si>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</si>
  <si>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</si>
  <si>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</si>
  <si>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</si>
  <si>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</si>
  <si>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</si>
  <si>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</si>
  <si>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</si>
  <si>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</si>
  <si>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</si>
  <si>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</si>
  <si>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</si>
  <si>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</si>
  <si>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</si>
  <si>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</si>
  <si>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</si>
  <si>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</si>
  <si>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</si>
  <si>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</si>
  <si>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</si>
  <si>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</si>
  <si>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</si>
  <si>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</si>
  <si>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</si>
  <si>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</si>
  <si>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</si>
  <si>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</si>
  <si>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</si>
  <si>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</si>
  <si>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</si>
  <si>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</si>
  <si>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</si>
  <si>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</si>
  <si>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</si>
  <si>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</si>
  <si>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</si>
  <si>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</si>
  <si>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</si>
  <si>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</si>
  <si>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</si>
  <si>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</si>
  <si>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</si>
  <si>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</si>
  <si>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</si>
  <si>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</si>
  <si>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</si>
  <si>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</si>
  <si>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</si>
  <si>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</si>
  <si>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</si>
  <si>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</si>
  <si>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</si>
  <si>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</si>
  <si>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</si>
  <si>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</si>
  <si>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</si>
  <si>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</si>
  <si>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</si>
  <si>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</si>
  <si>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</si>
  <si>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</si>
  <si>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</si>
  <si>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</si>
  <si>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</si>
  <si>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</si>
  <si>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</si>
  <si>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</si>
  <si>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</si>
  <si>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</si>
  <si>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</si>
  <si>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</si>
  <si>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</si>
  <si>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</si>
  <si>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</si>
  <si>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</si>
  <si>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</si>
  <si>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</si>
  <si>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</si>
  <si>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</si>
  <si>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</si>
  <si>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</si>
  <si>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</si>
  <si>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</si>
  <si>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</si>
  <si>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</si>
  <si>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</si>
  <si>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</si>
  <si>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</si>
  <si>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</si>
  <si>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</si>
  <si>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</si>
  <si>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</si>
  <si>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</si>
  <si>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</si>
  <si>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</si>
  <si>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</si>
  <si>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</si>
  <si>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</si>
  <si>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</si>
  <si>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</si>
  <si>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</si>
  <si>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</si>
  <si>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</si>
  <si>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</si>
  <si>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</si>
  <si>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</si>
  <si>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</si>
  <si>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</si>
  <si>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</si>
  <si>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</si>
  <si>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</si>
  <si>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</si>
  <si>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</si>
  <si>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</si>
  <si>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</si>
  <si>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</si>
  <si>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</si>
  <si>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</si>
  <si>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</si>
  <si>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</si>
  <si>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</si>
  <si>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</si>
  <si>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</si>
  <si>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</si>
  <si>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</si>
  <si>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</si>
  <si>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</si>
  <si>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</si>
  <si>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</si>
  <si>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</si>
  <si>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</si>
  <si>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</si>
  <si>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</si>
  <si>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</si>
  <si>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</si>
  <si>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</si>
  <si>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</si>
  <si>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</si>
  <si>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</si>
  <si>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</si>
  <si>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</si>
  <si>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</si>
  <si>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</si>
  <si>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</si>
  <si>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</si>
  <si>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</si>
  <si>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</si>
  <si>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</si>
  <si>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</si>
  <si>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</si>
  <si>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</si>
  <si>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</si>
  <si>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</si>
  <si>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</si>
  <si>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</si>
  <si>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</si>
  <si>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</si>
  <si>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</si>
  <si>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</si>
  <si>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</si>
  <si>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</si>
  <si>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</si>
  <si>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</si>
  <si>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</si>
  <si>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</si>
  <si>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</si>
  <si>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</si>
  <si>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</si>
  <si>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</si>
  <si>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</si>
  <si>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</si>
  <si>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</si>
  <si>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</si>
  <si>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</si>
  <si>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</si>
  <si>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</si>
  <si>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</si>
  <si>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</si>
  <si>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</si>
  <si>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</si>
  <si>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</si>
  <si>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</si>
  <si>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</si>
  <si>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</si>
  <si>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</si>
  <si>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</si>
  <si>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</si>
  <si>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</si>
  <si>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</si>
  <si>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</si>
  <si>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</si>
  <si>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</si>
  <si>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</si>
  <si>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</si>
  <si>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</si>
  <si>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</si>
  <si>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</si>
  <si>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</si>
  <si>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</si>
  <si>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</si>
  <si>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</si>
  <si>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</si>
  <si>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</si>
  <si>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</si>
  <si>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</si>
  <si>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</si>
  <si>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</si>
  <si>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</si>
  <si>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</si>
  <si>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</si>
  <si>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</si>
  <si>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</si>
  <si>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</si>
  <si>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</si>
  <si>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</si>
  <si>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</si>
  <si>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</si>
  <si>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</si>
  <si>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</si>
  <si>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</si>
  <si>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</si>
  <si>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</si>
  <si>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</si>
  <si>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</si>
  <si>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</si>
  <si>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</si>
  <si>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</si>
  <si>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</si>
  <si>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</si>
  <si>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</si>
  <si>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</si>
  <si>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</si>
  <si>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</si>
  <si>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</si>
  <si>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</si>
  <si>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</si>
  <si>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</si>
  <si>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</si>
  <si>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</si>
  <si>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</si>
  <si>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</si>
  <si>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</si>
  <si>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</si>
  <si>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</si>
  <si>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</si>
  <si>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</si>
  <si>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</si>
  <si>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</si>
  <si>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</si>
  <si>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</si>
  <si>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</si>
  <si>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</si>
  <si>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</si>
  <si>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</si>
  <si>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</si>
  <si>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</si>
  <si>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</si>
  <si>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</si>
  <si>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</si>
  <si>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</si>
  <si>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</si>
  <si>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</si>
  <si>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</si>
  <si>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</si>
  <si>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</si>
  <si>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</si>
  <si>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</si>
  <si>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</si>
  <si>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</si>
  <si>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</si>
  <si>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</si>
  <si>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</si>
  <si>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</si>
  <si>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</si>
  <si>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</si>
  <si>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</si>
  <si>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</si>
  <si>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měřiče na II/101-zálohy ČEZ</t>
  </si>
  <si>
    <t>zajištění dodavatelských služeb-konzultační a poradenské  služby</t>
  </si>
  <si>
    <t>Diamantová, Dr. Strusky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</si>
  <si>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</si>
  <si>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</si>
  <si>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</si>
  <si>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</si>
  <si>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</si>
  <si>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</si>
  <si>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</si>
  <si>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</si>
  <si>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</si>
  <si>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</si>
  <si>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</si>
  <si>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</si>
  <si>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</si>
  <si>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</si>
  <si>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</si>
  <si>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</si>
  <si>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</si>
  <si>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</si>
  <si>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</si>
  <si>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</si>
  <si>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</si>
  <si>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</si>
  <si>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</si>
  <si>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</si>
  <si>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</si>
  <si>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</si>
  <si>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</si>
  <si>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</si>
  <si>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</si>
  <si>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</si>
  <si>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</si>
  <si>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</si>
  <si>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</si>
  <si>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</si>
  <si>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</si>
  <si>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</si>
  <si>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</si>
  <si>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</si>
  <si>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</si>
  <si>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</si>
  <si>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</si>
  <si>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</si>
  <si>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</si>
  <si>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</si>
  <si>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</si>
  <si>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</si>
  <si>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</si>
  <si>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</si>
  <si>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</si>
  <si>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</si>
  <si>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</si>
  <si>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</si>
  <si>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</si>
  <si>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</si>
  <si>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</si>
  <si>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</si>
  <si>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</si>
  <si>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</si>
  <si>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</si>
  <si>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</si>
  <si>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</si>
  <si>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</si>
  <si>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</si>
  <si>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</si>
  <si>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</si>
  <si>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</si>
  <si>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</si>
  <si>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</si>
  <si>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</si>
  <si>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</si>
  <si>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</si>
  <si>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</si>
  <si>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</si>
  <si>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</si>
  <si>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</si>
  <si>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</si>
  <si>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</si>
  <si>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</si>
  <si>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</si>
  <si>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</si>
  <si>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</si>
  <si>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</si>
  <si>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</si>
  <si>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</si>
  <si>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</si>
  <si>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</si>
  <si>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</si>
  <si>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</si>
  <si>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</si>
  <si>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</si>
  <si>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</si>
  <si>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</si>
  <si>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</si>
  <si>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</si>
  <si>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</si>
  <si>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</si>
  <si>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</si>
  <si>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</si>
  <si>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</si>
  <si>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</si>
  <si>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</si>
  <si>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</si>
  <si>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</si>
  <si>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</si>
  <si>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</si>
  <si>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</si>
  <si>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</si>
  <si>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</si>
  <si>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</si>
  <si>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</si>
  <si>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</si>
  <si>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</si>
  <si>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</si>
  <si>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</si>
  <si>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</si>
  <si>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</si>
  <si>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</si>
  <si>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</si>
  <si>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</si>
  <si>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</si>
  <si>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</si>
  <si>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</si>
  <si>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</si>
  <si>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</si>
  <si>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</si>
  <si>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</si>
  <si>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</si>
  <si>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</si>
  <si>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</si>
  <si>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</si>
  <si>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</si>
  <si>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</si>
  <si>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</si>
  <si>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</si>
  <si>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</si>
  <si>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</si>
  <si>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</si>
  <si>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</si>
  <si>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</si>
  <si>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</si>
  <si>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</si>
  <si>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</si>
  <si>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</si>
  <si>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</si>
  <si>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</si>
  <si>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</si>
  <si>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</si>
  <si>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</si>
  <si>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</si>
  <si>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</si>
  <si>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</si>
  <si>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</si>
  <si>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</si>
  <si>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</si>
  <si>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</si>
  <si>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</si>
  <si>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</si>
  <si>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</si>
  <si>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</si>
  <si>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</si>
  <si>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</si>
  <si>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Celkové úroky</t>
  </si>
  <si>
    <t>Splátky jistiny 2014</t>
  </si>
  <si>
    <t>Splátky jistiny 2019</t>
  </si>
  <si>
    <t>jistina z úvěru 30 000 000,-Kč z roku 2019</t>
  </si>
  <si>
    <t>Refinancování dva úvěry 15 mil.-2,5 mil.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</si>
  <si>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</si>
  <si>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</si>
  <si>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</si>
  <si>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</si>
  <si>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</si>
  <si>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</si>
  <si>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</si>
  <si>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</si>
  <si>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</si>
  <si>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</si>
  <si>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</si>
  <si>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</si>
  <si>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</si>
  <si>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</si>
  <si>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</si>
  <si>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</si>
  <si>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</si>
  <si>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</si>
  <si>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</si>
  <si>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</si>
  <si>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</si>
  <si>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</si>
  <si>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</si>
  <si>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</si>
  <si>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</si>
  <si>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</si>
  <si>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</si>
  <si>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</si>
  <si>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</si>
  <si>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</si>
  <si>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</si>
  <si>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</si>
  <si>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</si>
  <si>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</si>
  <si>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</si>
  <si>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</si>
  <si>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</si>
  <si>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</si>
  <si>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</si>
  <si>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</si>
  <si>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</si>
  <si>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</si>
  <si>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</si>
  <si>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</si>
  <si>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</si>
  <si>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</si>
  <si>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</si>
  <si>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</si>
  <si>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</si>
  <si>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</si>
  <si>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</si>
  <si>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</si>
  <si>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</si>
  <si>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</si>
  <si>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</si>
  <si>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</si>
  <si>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</si>
  <si>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</si>
  <si>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</si>
  <si>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</si>
  <si>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</si>
  <si>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</si>
  <si>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</si>
  <si>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</si>
  <si>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</si>
  <si>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</si>
  <si>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</si>
  <si>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</si>
  <si>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</si>
  <si>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</si>
  <si>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</si>
  <si>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</si>
  <si>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</si>
  <si>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</si>
  <si>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</si>
  <si>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</si>
  <si>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</si>
  <si>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</si>
  <si>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</si>
  <si>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</si>
  <si>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</si>
  <si>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</si>
  <si>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</si>
  <si>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</si>
  <si>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</si>
  <si>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</si>
  <si>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</si>
  <si>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</si>
  <si>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</si>
  <si>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</si>
  <si>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</si>
  <si>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</si>
  <si>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</si>
  <si>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</si>
  <si>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</si>
  <si>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</si>
  <si>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</si>
  <si>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</si>
  <si>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</si>
  <si>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</si>
  <si>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</si>
  <si>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</si>
  <si>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</si>
  <si>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</si>
  <si>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</si>
  <si>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</si>
  <si>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</si>
  <si>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</si>
  <si>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</si>
  <si>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</si>
  <si>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</si>
  <si>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</si>
  <si>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</si>
  <si>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</si>
  <si>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</si>
  <si>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</si>
  <si>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</si>
  <si>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</si>
  <si>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</si>
  <si>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</si>
  <si>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</si>
  <si>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</si>
  <si>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</si>
  <si>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</si>
  <si>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</si>
  <si>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</si>
  <si>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</si>
  <si>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</si>
  <si>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</si>
  <si>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</si>
  <si>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</si>
  <si>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</si>
  <si>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</si>
  <si>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</si>
  <si>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</si>
  <si>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</si>
  <si>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</si>
  <si>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</si>
  <si>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</si>
  <si>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</si>
  <si>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</si>
  <si>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</si>
  <si>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</si>
  <si>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</si>
  <si>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</si>
  <si>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</si>
  <si>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</si>
  <si>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</si>
  <si>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</si>
  <si>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</si>
  <si>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</si>
  <si>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</si>
  <si>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</si>
  <si>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</si>
  <si>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</si>
  <si>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</si>
  <si>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</si>
  <si>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</si>
  <si>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</si>
  <si>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</si>
  <si>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</si>
  <si>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</si>
  <si>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</si>
  <si>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</si>
  <si>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</si>
  <si>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</si>
  <si>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</si>
  <si>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</si>
  <si>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</si>
  <si>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</si>
  <si>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</si>
  <si>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</si>
  <si>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</si>
  <si>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</si>
  <si>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</si>
  <si>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</si>
  <si>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</si>
  <si>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Podhají-PD</t>
  </si>
  <si>
    <t>Stavba - PD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</si>
  <si>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</si>
  <si>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</si>
  <si>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</si>
  <si>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</si>
  <si>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</si>
  <si>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</si>
  <si>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</si>
  <si>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</si>
  <si>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</si>
  <si>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</si>
  <si>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</si>
  <si>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</si>
  <si>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</si>
  <si>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Provoz, údržba veřejného osvětlení</t>
  </si>
  <si>
    <t>Oprava a doplnění lamp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</si>
  <si>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</si>
  <si>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</si>
  <si>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</si>
  <si>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</si>
  <si>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</si>
  <si>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</si>
  <si>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</si>
  <si>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</si>
  <si>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</si>
  <si>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</si>
  <si>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</si>
  <si>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</si>
  <si>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</si>
  <si>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</si>
  <si>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</si>
  <si>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</si>
  <si>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</si>
  <si>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</si>
  <si>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</si>
  <si>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</si>
  <si>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</si>
  <si>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</si>
  <si>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</si>
  <si>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</si>
  <si>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</si>
  <si>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</si>
  <si>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</si>
  <si>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</si>
  <si>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</si>
  <si>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</si>
  <si>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</si>
  <si>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</si>
  <si>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</si>
  <si>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</si>
  <si>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</si>
  <si>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</si>
  <si>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</si>
  <si>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</si>
  <si>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</si>
  <si>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</si>
  <si>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</si>
  <si>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</si>
  <si>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</si>
  <si>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</si>
  <si>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</si>
  <si>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</si>
  <si>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</si>
  <si>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</si>
  <si>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</si>
  <si>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</si>
  <si>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</si>
  <si>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</si>
  <si>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</si>
  <si>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</si>
  <si>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</si>
  <si>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</si>
  <si>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</si>
  <si>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</si>
  <si>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</si>
  <si>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</si>
  <si>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</si>
  <si>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</si>
  <si>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</si>
  <si>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</si>
  <si>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</si>
  <si>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</si>
  <si>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</si>
  <si>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</si>
  <si>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</si>
  <si>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</si>
  <si>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</si>
  <si>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</si>
  <si>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</si>
  <si>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</si>
  <si>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</si>
  <si>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</si>
  <si>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</si>
  <si>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</si>
  <si>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</si>
  <si>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</si>
  <si>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</si>
  <si>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</si>
  <si>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</si>
  <si>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</si>
  <si>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</si>
  <si>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</si>
  <si>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</si>
  <si>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</si>
  <si>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</si>
  <si>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</si>
  <si>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</si>
  <si>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</si>
  <si>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</si>
  <si>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</si>
  <si>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</si>
  <si>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</si>
  <si>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</si>
  <si>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</si>
  <si>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</si>
  <si>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</si>
  <si>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</si>
  <si>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</si>
  <si>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</si>
  <si>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</si>
  <si>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</si>
  <si>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</si>
  <si>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</si>
  <si>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</si>
  <si>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</si>
  <si>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</si>
  <si>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</si>
  <si>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</si>
  <si>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</si>
  <si>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</si>
  <si>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</si>
  <si>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</si>
  <si>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</si>
  <si>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</si>
  <si>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</si>
  <si>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</si>
  <si>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</si>
  <si>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</si>
  <si>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</si>
  <si>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</si>
  <si>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</si>
  <si>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</si>
  <si>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</si>
  <si>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</si>
  <si>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</si>
  <si>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</si>
  <si>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</si>
  <si>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</si>
  <si>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</si>
  <si>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</si>
  <si>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</si>
  <si>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</si>
  <si>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</si>
  <si>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</si>
  <si>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</si>
  <si>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</si>
  <si>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</si>
  <si>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</si>
  <si>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</si>
  <si>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</si>
  <si>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</si>
  <si>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</si>
  <si>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</si>
  <si>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</si>
  <si>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</si>
  <si>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</si>
  <si>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</si>
  <si>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</si>
  <si>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</si>
  <si>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</si>
  <si>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</si>
  <si>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</si>
  <si>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</si>
  <si>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</si>
  <si>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</si>
  <si>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</si>
  <si>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</si>
  <si>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</si>
  <si>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</si>
  <si>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</si>
  <si>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</si>
  <si>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</si>
  <si>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</si>
  <si>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</si>
  <si>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</si>
  <si>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</si>
  <si>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</si>
  <si>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</si>
  <si>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</si>
  <si>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</si>
  <si>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</si>
  <si>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</si>
  <si>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</si>
  <si>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</si>
  <si>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</si>
  <si>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</si>
  <si>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</si>
  <si>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</si>
  <si>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</si>
  <si>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</si>
  <si>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</si>
  <si>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</si>
  <si>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</si>
  <si>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</si>
  <si>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</si>
  <si>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</si>
  <si>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</si>
  <si>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</si>
  <si>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</si>
  <si>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</si>
  <si>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</si>
  <si>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</si>
  <si>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</si>
  <si>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</si>
  <si>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</si>
  <si>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</si>
  <si>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</si>
  <si>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RO č.3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</si>
  <si>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</si>
  <si>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</si>
  <si>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</si>
  <si>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</si>
  <si>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</si>
  <si>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</si>
  <si>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</si>
  <si>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</si>
  <si>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</si>
  <si>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</si>
  <si>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</si>
  <si>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</si>
  <si>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</si>
  <si>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</si>
  <si>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</si>
  <si>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</si>
  <si>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</si>
  <si>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</si>
  <si>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</si>
  <si>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</si>
  <si>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Traktor</t>
  </si>
  <si>
    <t>participativní rozpočet - projekty</t>
  </si>
  <si>
    <t>Asfaltové povrchy ke kostelu - doplacení</t>
  </si>
  <si>
    <t>nákup bytu č.p.85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</si>
  <si>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</si>
  <si>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</si>
  <si>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</si>
  <si>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</si>
  <si>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</si>
  <si>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</si>
  <si>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</si>
  <si>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</si>
  <si>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</si>
  <si>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PD  gastro pro VŘ</t>
  </si>
  <si>
    <t>Stravovací provoz kuchyňka, Berušky, MŠ Kollárová</t>
  </si>
  <si>
    <t>Povodí Labe - obytný soubor Vinice, VB</t>
  </si>
  <si>
    <t xml:space="preserve">TDI na neinvestiční </t>
  </si>
  <si>
    <t xml:space="preserve">AD na neinvestiční </t>
  </si>
  <si>
    <t>Sál DPS</t>
  </si>
  <si>
    <t>Oprava sezení u ZŠ</t>
  </si>
  <si>
    <t>Chodníky DPS</t>
  </si>
  <si>
    <t>Lom</t>
  </si>
  <si>
    <t>Oprava schodů - Presslova (Nerudova směrem Komenského)</t>
  </si>
  <si>
    <t>Oplocení terénní psí hřiště</t>
  </si>
  <si>
    <t>ul.Pod Tratí</t>
  </si>
  <si>
    <t>ul.Jirásková</t>
  </si>
  <si>
    <t>ul.Na Spojce</t>
  </si>
  <si>
    <t>ul.Lesní původní</t>
  </si>
  <si>
    <t>ul.Lesní nová</t>
  </si>
  <si>
    <t>ul.Jirenská</t>
  </si>
  <si>
    <t>ul.Ebenová</t>
  </si>
  <si>
    <t>ul.Jírenská obnova VO</t>
  </si>
  <si>
    <t>ul.Komenského var.1</t>
  </si>
  <si>
    <t>v roce 2025</t>
  </si>
  <si>
    <t>Obnova VO ul. Jirenská II/101</t>
  </si>
  <si>
    <t>stavba - I.etapa</t>
  </si>
  <si>
    <t>stavba - II. etapa</t>
  </si>
  <si>
    <t>rekonstrukce III/01214 - úsek č. 1- Pražská chodník</t>
  </si>
  <si>
    <t>rezerva z přebytku 2024</t>
  </si>
  <si>
    <t>Popelnice projekt Door to Door</t>
  </si>
  <si>
    <t>Finančnídar Purina, Nestlé ,psí hřiště</t>
  </si>
  <si>
    <t>á</t>
  </si>
  <si>
    <t>Ul. K Hájovně</t>
  </si>
  <si>
    <t>RO č.5</t>
  </si>
  <si>
    <t>59.289.048,00</t>
  </si>
  <si>
    <t>46.279,58</t>
  </si>
  <si>
    <t>12.253.954,95</t>
  </si>
  <si>
    <t>53.353,88</t>
  </si>
  <si>
    <t>13.405.948,25</t>
  </si>
  <si>
    <t>56.689,41</t>
  </si>
  <si>
    <t>20.937,38</t>
  </si>
  <si>
    <t>31.08.2025 CELKEM</t>
  </si>
  <si>
    <t>112.948.332,41</t>
  </si>
  <si>
    <t>177.260,25</t>
  </si>
  <si>
    <t>58.862.507,-</t>
  </si>
  <si>
    <t>44.466,78</t>
  </si>
  <si>
    <t>19.811.280,-</t>
  </si>
  <si>
    <t>101.546,98</t>
  </si>
  <si>
    <t>12.202.030,95</t>
  </si>
  <si>
    <t>46.934,86</t>
  </si>
  <si>
    <t>13.349.143,38</t>
  </si>
  <si>
    <t>54.629,24</t>
  </si>
  <si>
    <t>14.440.276,87</t>
  </si>
  <si>
    <t>31.741,20</t>
  </si>
  <si>
    <t>30.09.2025 CELKEM</t>
  </si>
  <si>
    <t>118.665.238,20</t>
  </si>
  <si>
    <t>279.319,06</t>
  </si>
  <si>
    <t>neinvestiční dotace od obcí</t>
  </si>
  <si>
    <t>RO č.6</t>
  </si>
  <si>
    <t>UJAK MŠ</t>
  </si>
  <si>
    <t>UJAK MDDM</t>
  </si>
  <si>
    <t>Fond prevence KÚ ZŠ UZ 259</t>
  </si>
  <si>
    <t>Kopirka na SÚ</t>
  </si>
  <si>
    <t>Elektronická deska</t>
  </si>
  <si>
    <t>58.435.966,-</t>
  </si>
  <si>
    <t>45.618,45</t>
  </si>
  <si>
    <t>12.150.106,95</t>
  </si>
  <si>
    <t>48.380,72</t>
  </si>
  <si>
    <t>13.292.338,51</t>
  </si>
  <si>
    <t>56.211,02</t>
  </si>
  <si>
    <t>17.981.219,73</t>
  </si>
  <si>
    <t>46.255,75</t>
  </si>
  <si>
    <t>31.10.2025 CELKEM</t>
  </si>
  <si>
    <t>121.670.911,19</t>
  </si>
  <si>
    <t>196.465,94</t>
  </si>
  <si>
    <t>příjem daně z hazardních her</t>
  </si>
  <si>
    <t>příjem z technických her</t>
  </si>
  <si>
    <t>1334-1361</t>
  </si>
  <si>
    <t>daň z nemovitostí</t>
  </si>
  <si>
    <t xml:space="preserve"> rok  2025</t>
  </si>
  <si>
    <t>5011-5038</t>
  </si>
  <si>
    <t>5134-5139</t>
  </si>
  <si>
    <t>5151-5156</t>
  </si>
  <si>
    <t>5161-5194</t>
  </si>
  <si>
    <t>5329-5331</t>
  </si>
  <si>
    <t>5361-5903</t>
  </si>
  <si>
    <t>1331-1361</t>
  </si>
  <si>
    <t>2111-3211</t>
  </si>
  <si>
    <t>4111-4216</t>
  </si>
  <si>
    <t>8115-8124</t>
  </si>
  <si>
    <t>mzdy</t>
  </si>
  <si>
    <t>mat.</t>
  </si>
  <si>
    <t>energie</t>
  </si>
  <si>
    <t>služby</t>
  </si>
  <si>
    <t>neinv.</t>
  </si>
  <si>
    <t>ost.</t>
  </si>
  <si>
    <t>6111-6130</t>
  </si>
  <si>
    <t>Běžné přijaté-přijaté transféry SR a obci a dotace</t>
  </si>
  <si>
    <t>Rozpočet Ro č.7</t>
  </si>
  <si>
    <t>Změny</t>
  </si>
  <si>
    <t xml:space="preserve">RUD </t>
  </si>
  <si>
    <t>31 mil</t>
  </si>
  <si>
    <t>13 mil</t>
  </si>
  <si>
    <t xml:space="preserve">přesun do roku 2026 </t>
  </si>
  <si>
    <t>prodej pozemku</t>
  </si>
  <si>
    <t>Příjaté transfery</t>
  </si>
  <si>
    <t>šablony</t>
  </si>
  <si>
    <t>732 tis.</t>
  </si>
  <si>
    <t>752 tis.</t>
  </si>
  <si>
    <t>163 tis.</t>
  </si>
  <si>
    <t>neinvestiční dotace z SR</t>
  </si>
  <si>
    <t>1,6 mil</t>
  </si>
  <si>
    <t>8,1 mil</t>
  </si>
  <si>
    <t>dotace ČOV nečerpání</t>
  </si>
  <si>
    <t>15,9 mil</t>
  </si>
  <si>
    <t xml:space="preserve">Kapitalové výdaje </t>
  </si>
  <si>
    <t>52 mil</t>
  </si>
  <si>
    <t>kanalizace</t>
  </si>
  <si>
    <t>alokace na svazšková škole</t>
  </si>
  <si>
    <t>15 mil</t>
  </si>
  <si>
    <t>16 mil</t>
  </si>
  <si>
    <t>20 mil</t>
  </si>
  <si>
    <t>Celkové výdaje vč. financování</t>
  </si>
  <si>
    <t>Celkové příjmy vč. financování</t>
  </si>
  <si>
    <t>8,07 mil</t>
  </si>
  <si>
    <t>1,647 mil</t>
  </si>
  <si>
    <t>RO č.7</t>
  </si>
  <si>
    <t>58.009.425,-</t>
  </si>
  <si>
    <t>43.826,97</t>
  </si>
  <si>
    <t>12.089.182 95</t>
  </si>
  <si>
    <t>46.511,69</t>
  </si>
  <si>
    <t>13.235.533,64</t>
  </si>
  <si>
    <t>54.166,28</t>
  </si>
  <si>
    <t>19.269.846,70</t>
  </si>
  <si>
    <t>50.083,81</t>
  </si>
  <si>
    <t>30.11.2025 CELKEM</t>
  </si>
  <si>
    <t>122.415.268,29</t>
  </si>
  <si>
    <t>194.588,75</t>
  </si>
  <si>
    <t>57.582.884,-</t>
  </si>
  <si>
    <t>44.957,31</t>
  </si>
  <si>
    <t>19.245.240,-</t>
  </si>
  <si>
    <t>101.945,55</t>
  </si>
  <si>
    <t>12.034.258,95</t>
  </si>
  <si>
    <t>47.943,43</t>
  </si>
  <si>
    <t>13.178.728,77</t>
  </si>
  <si>
    <t>55.732,62</t>
  </si>
  <si>
    <t>35.952.450,11</t>
  </si>
  <si>
    <t>67.615,19</t>
  </si>
  <si>
    <t>31.12.2025 CELKEM</t>
  </si>
  <si>
    <t>137.993.561,83</t>
  </si>
  <si>
    <t>318.194,10</t>
  </si>
  <si>
    <t>dotace ZŠ J.A.Komenský</t>
  </si>
  <si>
    <t>poplatek z pobytu</t>
  </si>
  <si>
    <t>Film.tvorba,distribuce. Arch</t>
  </si>
  <si>
    <t>Kurz</t>
  </si>
  <si>
    <t>0001</t>
  </si>
  <si>
    <t>0002</t>
  </si>
  <si>
    <t>Neinv.transf.fundacím, ústavům a obecně prosp.sp</t>
  </si>
  <si>
    <t>Ostatní neinv. Výdaje jinde nezařazené</t>
  </si>
  <si>
    <t>dotace  přístavba MŠ Cukrovar-ul. Bulharská</t>
  </si>
  <si>
    <t>dotace přístavba MŠ Czkrovar</t>
  </si>
  <si>
    <t>volby 98071</t>
  </si>
  <si>
    <t xml:space="preserve">Úřad práce </t>
  </si>
  <si>
    <t xml:space="preserve">nájemné </t>
  </si>
  <si>
    <t>el.energie, divadlo</t>
  </si>
  <si>
    <t>prodej HM</t>
  </si>
  <si>
    <t>prodej knih</t>
  </si>
  <si>
    <t>Pokuty PK</t>
  </si>
  <si>
    <t>dotace hasiči 14004</t>
  </si>
  <si>
    <t>vratka el.energie</t>
  </si>
  <si>
    <t>pronájem ost.nemovitost</t>
  </si>
  <si>
    <t>dotace přístavba MŠ Cukrovar-ul. Bulharská</t>
  </si>
  <si>
    <t>dotace přístavba MŠ Cukrovar</t>
  </si>
  <si>
    <t>Ostatní neinv. výdaje jinde nezařazené</t>
  </si>
  <si>
    <t>Provozní saldo</t>
  </si>
  <si>
    <t>Provozní saldo po odečtení  úvěru</t>
  </si>
  <si>
    <t>Prostředky na investice bez úvěru</t>
  </si>
  <si>
    <t>Financovaní celkového salda</t>
  </si>
  <si>
    <t>zůstatek - úvěru obchvat Jiren na investice</t>
  </si>
  <si>
    <t>Daň z příjmu fyzických osob ze zaměstnanců</t>
  </si>
  <si>
    <t>Popl. za provoz. výh. hrací přístroje</t>
  </si>
  <si>
    <t>neinvestiční příspěvky KÚ UK</t>
  </si>
  <si>
    <t>příspěvek na Sovova ul. občané</t>
  </si>
  <si>
    <t>Kompenzace MF za covid</t>
  </si>
  <si>
    <t>Sekretariat</t>
  </si>
  <si>
    <t>systém připojení optických kamer</t>
  </si>
  <si>
    <t>Vybavení nové hasičárny</t>
  </si>
  <si>
    <t>splátka úvěru - svazek - Káraný</t>
  </si>
  <si>
    <t>Prostor před školou a kolmé stání V Podhájí</t>
  </si>
  <si>
    <t>ZŠ HŘIŠTĚ CELKEM</t>
  </si>
  <si>
    <t>Dosadba Park Vinice celkem</t>
  </si>
  <si>
    <t>3 kamery MKDS</t>
  </si>
  <si>
    <t>Zbraně, trezor a vybíjecí zařízení</t>
  </si>
  <si>
    <t>obalový materiál, tematické kufříky, výukové pomůcky</t>
  </si>
  <si>
    <t>MŠ Pr.  celkem</t>
  </si>
  <si>
    <t>Provoz veř. sil.dopr. celkem</t>
  </si>
  <si>
    <t xml:space="preserve">Výdaje na el.energie celkem </t>
  </si>
  <si>
    <t>nový úvěr rok 2019,  30 mil.koupaliště</t>
  </si>
  <si>
    <t>nový úvěr rok 2024  90 mil. ČOV</t>
  </si>
  <si>
    <t>Refinancování  - dva úvěry 15 mil.pozemek MŠ,2,5 mil.točna bus</t>
  </si>
  <si>
    <t xml:space="preserve">nový úvěr rok 2023  110 mil. </t>
  </si>
  <si>
    <t>revize plyn, has. přístroje, komíny, výtah, prohlídky BOZP, Geometrické plány</t>
  </si>
  <si>
    <t>hřiště, parková zahrada, hrad Skara - revize hřišť, WC servis, odzimování fontány, psi hřště pod kostelem</t>
  </si>
  <si>
    <t>Treneři do škol</t>
  </si>
  <si>
    <t>smlouvy, geometrické plány, zaměření souvisejí s vodovodem</t>
  </si>
  <si>
    <t>zápůjčka SIM + provozování internet.serveru</t>
  </si>
  <si>
    <t>Park Úvaly Vinice celkem</t>
  </si>
  <si>
    <t>sanace střešní konstrukce - tesaříci, červotoči  budova A</t>
  </si>
  <si>
    <t>sanace střešní konstrukce - tesaříci, červotoči budova č.p. 7</t>
  </si>
  <si>
    <t>Kollárová oprava propadlé komunikace nad kanalizaci, obnova hýdrant a šoupě, kanálová vpusť</t>
  </si>
  <si>
    <t>Splátky jistiny nový úvěr 2023 obchvat Jiren</t>
  </si>
  <si>
    <t>Daň z příjmu fyz. osob ze ZÁVISLÉ ČINNOSTI</t>
  </si>
  <si>
    <t>Daň z příjmu fyzických osob zaměstnanci</t>
  </si>
  <si>
    <t>Daň z příjmu fyzických osob vybírana srážkou dle zvláštní sazby</t>
  </si>
  <si>
    <t>Příjem z DPPO v případech kdy poplat.je obec s vyj.</t>
  </si>
  <si>
    <t>Neinvestiční dotace od obcí</t>
  </si>
  <si>
    <t>úhrada sankcí</t>
  </si>
  <si>
    <t>Prostředky na investice</t>
  </si>
  <si>
    <t>zapojení úvěru na investice</t>
  </si>
  <si>
    <t>6. úrok úvěr vodovodní obchvat Jiren 100 mil</t>
  </si>
  <si>
    <t>6. jistina úvěr vodovodní obchvat Jiren 100 mil</t>
  </si>
  <si>
    <t>7. úrok úvěr ČOV 90 mil</t>
  </si>
  <si>
    <t>7. jistina úvěr ČOV 90 mil</t>
  </si>
  <si>
    <t>6. úvěr vodovodní obchvat Jiren 100 mil</t>
  </si>
  <si>
    <t>7. úvěr ČOV 90 mil</t>
  </si>
  <si>
    <t>osvětlení křižovatka</t>
  </si>
  <si>
    <t>Příspěvek na SŠ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</si>
</sst>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60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8"/>
      <color rgb="FFFF000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4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29" fillId="25" borderId="76" applyNumberFormat="0" applyAlignment="0" applyProtection="0"/>
    <xf numFmtId="0" fontId="6" fillId="26" borderId="0" applyNumberFormat="0" applyBorder="0" applyAlignment="0" applyProtection="0"/>
    <xf numFmtId="0" fontId="5" fillId="0" borderId="0"/>
    <xf numFmtId="0" fontId="13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44" fontId="7" fillId="0" borderId="0" applyFont="0" applyFill="0" applyBorder="0" applyAlignment="0" applyProtection="0"/>
    <xf numFmtId="0" fontId="143" fillId="39" borderId="98" applyNumberFormat="0" applyAlignment="0" applyProtection="0"/>
    <xf numFmtId="0" fontId="144" fillId="39" borderId="76" applyNumberFormat="0" applyAlignment="0" applyProtection="0"/>
    <xf numFmtId="0" fontId="145" fillId="0" borderId="0" applyNumberFormat="0" applyFill="0" applyBorder="0" applyAlignment="0" applyProtection="0"/>
    <xf numFmtId="0" fontId="2" fillId="40" borderId="0" applyNumberFormat="0" applyBorder="0" applyAlignment="0" applyProtection="0"/>
    <xf numFmtId="0" fontId="1" fillId="0" borderId="0"/>
  </cellStyleXfs>
  <cellXfs count="3311">
    <xf numFmtId="0" fontId="0" fillId="0" borderId="0" xfId="0"/>
    <xf numFmtId="0" fontId="15" fillId="0" borderId="0" xfId="0" applyFont="1"/>
    <xf numFmtId="3" fontId="16" fillId="0" borderId="0" xfId="0" applyNumberFormat="1" applyFont="1"/>
    <xf numFmtId="3" fontId="15" fillId="0" borderId="0" xfId="0" applyNumberFormat="1" applyFont="1"/>
    <xf numFmtId="0" fontId="17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8" fillId="0" borderId="0" xfId="0" applyFont="1"/>
    <xf numFmtId="0" fontId="10" fillId="0" borderId="0" xfId="0" applyFont="1"/>
    <xf numFmtId="3" fontId="0" fillId="0" borderId="0" xfId="0" applyNumberFormat="1"/>
    <xf numFmtId="0" fontId="21" fillId="0" borderId="0" xfId="0" applyFont="1"/>
    <xf numFmtId="0" fontId="13" fillId="0" borderId="0" xfId="0" applyFont="1"/>
    <xf numFmtId="0" fontId="14" fillId="0" borderId="0" xfId="0" applyFont="1" applyAlignment="1">
      <alignment horizontal="right"/>
    </xf>
    <xf numFmtId="3" fontId="14" fillId="0" borderId="0" xfId="0" applyNumberFormat="1" applyFont="1"/>
    <xf numFmtId="0" fontId="14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0" fontId="22" fillId="0" borderId="0" xfId="0" applyFont="1"/>
    <xf numFmtId="0" fontId="10" fillId="0" borderId="47" xfId="0" applyFont="1" applyBorder="1"/>
    <xf numFmtId="3" fontId="10" fillId="0" borderId="47" xfId="0" applyNumberFormat="1" applyFont="1" applyBorder="1"/>
    <xf numFmtId="3" fontId="13" fillId="0" borderId="47" xfId="0" applyNumberFormat="1" applyFont="1" applyBorder="1"/>
    <xf numFmtId="0" fontId="13" fillId="0" borderId="47" xfId="0" applyFont="1" applyBorder="1"/>
    <xf numFmtId="0" fontId="0" fillId="0" borderId="47" xfId="0" applyBorder="1"/>
    <xf numFmtId="0" fontId="12" fillId="0" borderId="47" xfId="0" applyFont="1" applyBorder="1"/>
    <xf numFmtId="0" fontId="13" fillId="0" borderId="0" xfId="0" applyFont="1" applyAlignment="1">
      <alignment horizontal="center"/>
    </xf>
    <xf numFmtId="4" fontId="15" fillId="0" borderId="0" xfId="0" applyNumberFormat="1" applyFont="1"/>
    <xf numFmtId="0" fontId="20" fillId="0" borderId="0" xfId="0" applyFont="1"/>
    <xf numFmtId="4" fontId="16" fillId="0" borderId="0" xfId="0" applyNumberFormat="1" applyFont="1"/>
    <xf numFmtId="3" fontId="22" fillId="0" borderId="0" xfId="0" applyNumberFormat="1" applyFont="1"/>
    <xf numFmtId="0" fontId="19" fillId="0" borderId="0" xfId="0" applyFont="1"/>
    <xf numFmtId="9" fontId="0" fillId="0" borderId="0" xfId="8" applyFont="1"/>
    <xf numFmtId="4" fontId="0" fillId="0" borderId="0" xfId="0" applyNumberFormat="1"/>
    <xf numFmtId="4" fontId="2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9" fillId="0" borderId="14" xfId="0" applyFont="1" applyBorder="1"/>
    <xf numFmtId="0" fontId="0" fillId="0" borderId="69" xfId="0" applyBorder="1"/>
    <xf numFmtId="9" fontId="22" fillId="0" borderId="0" xfId="8" applyFont="1" applyAlignment="1">
      <alignment horizontal="center"/>
    </xf>
    <xf numFmtId="1" fontId="22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3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3" fillId="0" borderId="67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7" xfId="0" applyFont="1" applyBorder="1"/>
    <xf numFmtId="0" fontId="0" fillId="0" borderId="7" xfId="0" applyBorder="1"/>
    <xf numFmtId="0" fontId="13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4" fillId="0" borderId="59" xfId="0" applyFont="1" applyBorder="1"/>
    <xf numFmtId="0" fontId="14" fillId="0" borderId="0" xfId="0" applyFont="1"/>
    <xf numFmtId="3" fontId="14" fillId="0" borderId="39" xfId="0" applyNumberFormat="1" applyFont="1" applyBorder="1"/>
    <xf numFmtId="3" fontId="14" fillId="0" borderId="36" xfId="0" applyNumberFormat="1" applyFont="1" applyBorder="1"/>
    <xf numFmtId="0" fontId="23" fillId="0" borderId="65" xfId="0" applyFont="1" applyBorder="1"/>
    <xf numFmtId="0" fontId="23" fillId="0" borderId="45" xfId="0" applyFont="1" applyBorder="1"/>
    <xf numFmtId="3" fontId="23" fillId="0" borderId="68" xfId="0" applyNumberFormat="1" applyFont="1" applyBorder="1"/>
    <xf numFmtId="0" fontId="23" fillId="0" borderId="0" xfId="0" applyFont="1"/>
    <xf numFmtId="0" fontId="23" fillId="0" borderId="59" xfId="0" applyFont="1" applyBorder="1"/>
    <xf numFmtId="3" fontId="23" fillId="0" borderId="39" xfId="0" applyNumberFormat="1" applyFont="1" applyBorder="1"/>
    <xf numFmtId="3" fontId="23" fillId="0" borderId="0" xfId="0" applyNumberFormat="1" applyFont="1"/>
    <xf numFmtId="3" fontId="23" fillId="0" borderId="53" xfId="0" applyNumberFormat="1" applyFont="1" applyBorder="1"/>
    <xf numFmtId="0" fontId="14" fillId="0" borderId="39" xfId="0" applyFont="1" applyBorder="1"/>
    <xf numFmtId="0" fontId="14" fillId="0" borderId="36" xfId="0" applyFont="1" applyBorder="1"/>
    <xf numFmtId="3" fontId="0" fillId="4" borderId="39" xfId="0" applyNumberFormat="1" applyFill="1" applyBorder="1"/>
    <xf numFmtId="3" fontId="13" fillId="0" borderId="39" xfId="0" applyNumberFormat="1" applyFont="1" applyBorder="1"/>
    <xf numFmtId="3" fontId="13" fillId="0" borderId="0" xfId="0" applyNumberFormat="1" applyFont="1"/>
    <xf numFmtId="3" fontId="13" fillId="0" borderId="36" xfId="0" applyNumberFormat="1" applyFont="1" applyBorder="1"/>
    <xf numFmtId="0" fontId="14" fillId="0" borderId="65" xfId="0" applyFont="1" applyBorder="1"/>
    <xf numFmtId="0" fontId="14" fillId="0" borderId="45" xfId="0" applyFont="1" applyBorder="1"/>
    <xf numFmtId="0" fontId="14" fillId="0" borderId="68" xfId="0" applyFont="1" applyBorder="1"/>
    <xf numFmtId="3" fontId="14" fillId="0" borderId="68" xfId="0" applyNumberFormat="1" applyFont="1" applyBorder="1"/>
    <xf numFmtId="3" fontId="14" fillId="0" borderId="53" xfId="0" applyNumberFormat="1" applyFont="1" applyBorder="1"/>
    <xf numFmtId="172" fontId="0" fillId="5" borderId="0" xfId="0" applyNumberFormat="1" applyFill="1"/>
    <xf numFmtId="0" fontId="24" fillId="0" borderId="19" xfId="0" applyFont="1" applyBorder="1" applyAlignment="1">
      <alignment horizontal="right"/>
    </xf>
    <xf numFmtId="0" fontId="24" fillId="0" borderId="40" xfId="0" applyFont="1" applyBorder="1" applyAlignment="1">
      <alignment horizontal="right"/>
    </xf>
    <xf numFmtId="0" fontId="25" fillId="5" borderId="0" xfId="0" applyFont="1" applyFill="1"/>
    <xf numFmtId="3" fontId="26" fillId="5" borderId="0" xfId="0" applyNumberFormat="1" applyFont="1" applyFill="1"/>
    <xf numFmtId="0" fontId="22" fillId="5" borderId="0" xfId="0" applyFont="1" applyFill="1" applyAlignment="1">
      <alignment horizontal="center"/>
    </xf>
    <xf numFmtId="0" fontId="22" fillId="5" borderId="69" xfId="0" applyFont="1" applyFill="1" applyBorder="1" applyAlignment="1">
      <alignment horizontal="center"/>
    </xf>
    <xf numFmtId="3" fontId="22" fillId="5" borderId="0" xfId="0" applyNumberFormat="1" applyFont="1" applyFill="1" applyAlignment="1">
      <alignment horizontal="center"/>
    </xf>
    <xf numFmtId="3" fontId="25" fillId="0" borderId="14" xfId="0" applyNumberFormat="1" applyFont="1" applyBorder="1"/>
    <xf numFmtId="3" fontId="25" fillId="0" borderId="43" xfId="0" applyNumberFormat="1" applyFont="1" applyBorder="1"/>
    <xf numFmtId="3" fontId="25" fillId="0" borderId="37" xfId="0" applyNumberFormat="1" applyFont="1" applyBorder="1"/>
    <xf numFmtId="3" fontId="25" fillId="0" borderId="33" xfId="0" applyNumberFormat="1" applyFont="1" applyBorder="1"/>
    <xf numFmtId="0" fontId="24" fillId="0" borderId="43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23" xfId="0" applyFont="1" applyBorder="1" applyAlignment="1">
      <alignment horizontal="right"/>
    </xf>
    <xf numFmtId="0" fontId="24" fillId="0" borderId="27" xfId="0" applyFont="1" applyBorder="1" applyAlignment="1">
      <alignment horizontal="center"/>
    </xf>
    <xf numFmtId="3" fontId="25" fillId="0" borderId="25" xfId="0" applyNumberFormat="1" applyFont="1" applyBorder="1"/>
    <xf numFmtId="3" fontId="25" fillId="0" borderId="27" xfId="0" applyNumberFormat="1" applyFont="1" applyBorder="1"/>
    <xf numFmtId="0" fontId="24" fillId="0" borderId="40" xfId="0" applyFont="1" applyBorder="1"/>
    <xf numFmtId="0" fontId="26" fillId="0" borderId="37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3" fontId="25" fillId="0" borderId="42" xfId="0" applyNumberFormat="1" applyFont="1" applyBorder="1"/>
    <xf numFmtId="3" fontId="25" fillId="0" borderId="21" xfId="0" applyNumberFormat="1" applyFont="1" applyBorder="1"/>
    <xf numFmtId="3" fontId="25" fillId="0" borderId="48" xfId="0" applyNumberFormat="1" applyFont="1" applyBorder="1"/>
    <xf numFmtId="3" fontId="24" fillId="0" borderId="3" xfId="0" applyNumberFormat="1" applyFont="1" applyBorder="1" applyAlignment="1">
      <alignment horizontal="center"/>
    </xf>
    <xf numFmtId="3" fontId="24" fillId="0" borderId="10" xfId="0" applyNumberFormat="1" applyFont="1" applyBorder="1"/>
    <xf numFmtId="3" fontId="24" fillId="0" borderId="11" xfId="0" applyNumberFormat="1" applyFont="1" applyBorder="1"/>
    <xf numFmtId="3" fontId="24" fillId="0" borderId="34" xfId="0" applyNumberFormat="1" applyFont="1" applyBorder="1"/>
    <xf numFmtId="0" fontId="27" fillId="9" borderId="0" xfId="0" applyFont="1" applyFill="1"/>
    <xf numFmtId="0" fontId="27" fillId="9" borderId="0" xfId="0" applyFont="1" applyFill="1" applyAlignment="1">
      <alignment horizontal="center"/>
    </xf>
    <xf numFmtId="3" fontId="25" fillId="5" borderId="0" xfId="0" applyNumberFormat="1" applyFont="1" applyFill="1"/>
    <xf numFmtId="0" fontId="32" fillId="0" borderId="0" xfId="5" applyFont="1"/>
    <xf numFmtId="0" fontId="33" fillId="0" borderId="0" xfId="0" applyFont="1"/>
    <xf numFmtId="0" fontId="34" fillId="0" borderId="0" xfId="0" applyFont="1"/>
    <xf numFmtId="0" fontId="33" fillId="23" borderId="0" xfId="0" applyFont="1" applyFill="1"/>
    <xf numFmtId="0" fontId="32" fillId="0" borderId="0" xfId="0" applyFont="1"/>
    <xf numFmtId="3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2" borderId="2" xfId="5" applyFont="1" applyFill="1" applyBorder="1" applyAlignment="1">
      <alignment horizontal="center" vertical="center"/>
    </xf>
    <xf numFmtId="0" fontId="35" fillId="2" borderId="56" xfId="5" applyFont="1" applyFill="1" applyBorder="1" applyAlignment="1">
      <alignment vertical="center"/>
    </xf>
    <xf numFmtId="0" fontId="35" fillId="4" borderId="3" xfId="5" applyFont="1" applyFill="1" applyBorder="1" applyAlignment="1">
      <alignment horizontal="center" vertical="center" wrapText="1"/>
    </xf>
    <xf numFmtId="3" fontId="35" fillId="2" borderId="15" xfId="5" applyNumberFormat="1" applyFont="1" applyFill="1" applyBorder="1" applyAlignment="1">
      <alignment horizontal="center" vertical="center" wrapText="1"/>
    </xf>
    <xf numFmtId="3" fontId="35" fillId="7" borderId="16" xfId="5" applyNumberFormat="1" applyFont="1" applyFill="1" applyBorder="1" applyAlignment="1">
      <alignment horizontal="center" vertical="center" wrapText="1"/>
    </xf>
    <xf numFmtId="3" fontId="35" fillId="2" borderId="20" xfId="5" applyNumberFormat="1" applyFont="1" applyFill="1" applyBorder="1" applyAlignment="1">
      <alignment horizontal="center" vertical="center" wrapText="1"/>
    </xf>
    <xf numFmtId="3" fontId="35" fillId="2" borderId="13" xfId="5" applyNumberFormat="1" applyFont="1" applyFill="1" applyBorder="1" applyAlignment="1">
      <alignment horizontal="center" vertical="center" wrapText="1"/>
    </xf>
    <xf numFmtId="3" fontId="35" fillId="2" borderId="46" xfId="5" applyNumberFormat="1" applyFont="1" applyFill="1" applyBorder="1" applyAlignment="1">
      <alignment horizontal="center" vertical="center" wrapText="1"/>
    </xf>
    <xf numFmtId="3" fontId="35" fillId="2" borderId="60" xfId="5" applyNumberFormat="1" applyFont="1" applyFill="1" applyBorder="1" applyAlignment="1">
      <alignment horizontal="center" vertical="center" wrapText="1"/>
    </xf>
    <xf numFmtId="3" fontId="35" fillId="2" borderId="71" xfId="5" applyNumberFormat="1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/>
    </xf>
    <xf numFmtId="0" fontId="35" fillId="3" borderId="31" xfId="0" applyFont="1" applyFill="1" applyBorder="1" applyAlignment="1">
      <alignment wrapText="1"/>
    </xf>
    <xf numFmtId="3" fontId="35" fillId="4" borderId="16" xfId="0" applyNumberFormat="1" applyFont="1" applyFill="1" applyBorder="1" applyAlignment="1">
      <alignment wrapText="1"/>
    </xf>
    <xf numFmtId="3" fontId="35" fillId="3" borderId="15" xfId="0" applyNumberFormat="1" applyFont="1" applyFill="1" applyBorder="1" applyAlignment="1">
      <alignment wrapText="1"/>
    </xf>
    <xf numFmtId="3" fontId="35" fillId="7" borderId="16" xfId="0" applyNumberFormat="1" applyFont="1" applyFill="1" applyBorder="1" applyAlignment="1">
      <alignment wrapText="1"/>
    </xf>
    <xf numFmtId="3" fontId="35" fillId="3" borderId="20" xfId="0" applyNumberFormat="1" applyFont="1" applyFill="1" applyBorder="1" applyAlignment="1">
      <alignment wrapText="1"/>
    </xf>
    <xf numFmtId="3" fontId="35" fillId="3" borderId="13" xfId="0" applyNumberFormat="1" applyFont="1" applyFill="1" applyBorder="1" applyAlignment="1">
      <alignment wrapText="1"/>
    </xf>
    <xf numFmtId="3" fontId="35" fillId="3" borderId="60" xfId="0" applyNumberFormat="1" applyFont="1" applyFill="1" applyBorder="1" applyAlignment="1">
      <alignment wrapText="1"/>
    </xf>
    <xf numFmtId="3" fontId="35" fillId="3" borderId="46" xfId="0" applyNumberFormat="1" applyFont="1" applyFill="1" applyBorder="1" applyAlignment="1">
      <alignment wrapText="1"/>
    </xf>
    <xf numFmtId="3" fontId="36" fillId="0" borderId="0" xfId="0" applyNumberFormat="1" applyFont="1"/>
    <xf numFmtId="0" fontId="35" fillId="23" borderId="0" xfId="0" applyFont="1" applyFill="1"/>
    <xf numFmtId="0" fontId="33" fillId="3" borderId="43" xfId="0" applyFont="1" applyFill="1" applyBorder="1" applyAlignment="1">
      <alignment horizontal="left" wrapText="1"/>
    </xf>
    <xf numFmtId="3" fontId="35" fillId="4" borderId="10" xfId="0" applyNumberFormat="1" applyFont="1" applyFill="1" applyBorder="1" applyAlignment="1">
      <alignment wrapText="1"/>
    </xf>
    <xf numFmtId="3" fontId="35" fillId="3" borderId="17" xfId="0" applyNumberFormat="1" applyFont="1" applyFill="1" applyBorder="1" applyAlignment="1">
      <alignment wrapText="1"/>
    </xf>
    <xf numFmtId="3" fontId="35" fillId="7" borderId="10" xfId="0" applyNumberFormat="1" applyFont="1" applyFill="1" applyBorder="1" applyAlignment="1">
      <alignment wrapText="1"/>
    </xf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3" fontId="33" fillId="23" borderId="0" xfId="0" applyNumberFormat="1" applyFont="1" applyFill="1"/>
    <xf numFmtId="0" fontId="33" fillId="3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right" wrapText="1"/>
    </xf>
    <xf numFmtId="3" fontId="33" fillId="4" borderId="10" xfId="0" applyNumberFormat="1" applyFont="1" applyFill="1" applyBorder="1"/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3" fillId="5" borderId="42" xfId="0" applyNumberFormat="1" applyFont="1" applyFill="1" applyBorder="1"/>
    <xf numFmtId="3" fontId="33" fillId="5" borderId="25" xfId="0" applyNumberFormat="1" applyFont="1" applyFill="1" applyBorder="1"/>
    <xf numFmtId="3" fontId="33" fillId="5" borderId="47" xfId="0" applyNumberFormat="1" applyFont="1" applyFill="1" applyBorder="1"/>
    <xf numFmtId="3" fontId="37" fillId="5" borderId="25" xfId="0" applyNumberFormat="1" applyFont="1" applyFill="1" applyBorder="1"/>
    <xf numFmtId="3" fontId="33" fillId="5" borderId="27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0" fontId="35" fillId="3" borderId="27" xfId="0" applyFont="1" applyFill="1" applyBorder="1" applyAlignment="1">
      <alignment wrapText="1"/>
    </xf>
    <xf numFmtId="3" fontId="35" fillId="7" borderId="17" xfId="0" applyNumberFormat="1" applyFont="1" applyFill="1" applyBorder="1" applyAlignment="1">
      <alignment wrapText="1"/>
    </xf>
    <xf numFmtId="0" fontId="36" fillId="0" borderId="0" xfId="0" applyFont="1"/>
    <xf numFmtId="3" fontId="33" fillId="5" borderId="14" xfId="0" applyNumberFormat="1" applyFont="1" applyFill="1" applyBorder="1"/>
    <xf numFmtId="3" fontId="33" fillId="5" borderId="62" xfId="0" applyNumberFormat="1" applyFont="1" applyFill="1" applyBorder="1"/>
    <xf numFmtId="3" fontId="33" fillId="5" borderId="43" xfId="0" applyNumberFormat="1" applyFont="1" applyFill="1" applyBorder="1"/>
    <xf numFmtId="0" fontId="35" fillId="3" borderId="2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left" wrapText="1"/>
    </xf>
    <xf numFmtId="0" fontId="35" fillId="5" borderId="23" xfId="0" applyFont="1" applyFill="1" applyBorder="1" applyAlignment="1">
      <alignment horizontal="center"/>
    </xf>
    <xf numFmtId="0" fontId="33" fillId="5" borderId="7" xfId="0" applyFont="1" applyFill="1" applyBorder="1" applyAlignment="1">
      <alignment horizontal="right" wrapText="1"/>
    </xf>
    <xf numFmtId="3" fontId="33" fillId="4" borderId="11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3" fillId="5" borderId="21" xfId="0" applyNumberFormat="1" applyFont="1" applyFill="1" applyBorder="1"/>
    <xf numFmtId="0" fontId="38" fillId="5" borderId="23" xfId="0" applyFont="1" applyFill="1" applyBorder="1" applyAlignment="1">
      <alignment horizontal="center"/>
    </xf>
    <xf numFmtId="0" fontId="37" fillId="5" borderId="7" xfId="0" applyFont="1" applyFill="1" applyBorder="1" applyAlignment="1">
      <alignment horizontal="right" wrapText="1"/>
    </xf>
    <xf numFmtId="3" fontId="37" fillId="4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7" fillId="5" borderId="21" xfId="0" applyNumberFormat="1" applyFont="1" applyFill="1" applyBorder="1"/>
    <xf numFmtId="3" fontId="37" fillId="5" borderId="14" xfId="0" applyNumberFormat="1" applyFont="1" applyFill="1" applyBorder="1"/>
    <xf numFmtId="3" fontId="37" fillId="5" borderId="62" xfId="0" applyNumberFormat="1" applyFont="1" applyFill="1" applyBorder="1"/>
    <xf numFmtId="3" fontId="37" fillId="5" borderId="43" xfId="0" applyNumberFormat="1" applyFont="1" applyFill="1" applyBorder="1"/>
    <xf numFmtId="0" fontId="37" fillId="0" borderId="0" xfId="0" applyFont="1"/>
    <xf numFmtId="0" fontId="37" fillId="23" borderId="0" xfId="0" applyFont="1" applyFill="1"/>
    <xf numFmtId="0" fontId="35" fillId="3" borderId="7" xfId="0" applyFont="1" applyFill="1" applyBorder="1" applyAlignment="1">
      <alignment wrapText="1"/>
    </xf>
    <xf numFmtId="3" fontId="35" fillId="7" borderId="32" xfId="0" applyNumberFormat="1" applyFont="1" applyFill="1" applyBorder="1"/>
    <xf numFmtId="3" fontId="35" fillId="7" borderId="34" xfId="0" applyNumberFormat="1" applyFont="1" applyFill="1" applyBorder="1"/>
    <xf numFmtId="3" fontId="35" fillId="7" borderId="44" xfId="0" applyNumberFormat="1" applyFont="1" applyFill="1" applyBorder="1"/>
    <xf numFmtId="3" fontId="35" fillId="7" borderId="33" xfId="0" applyNumberFormat="1" applyFont="1" applyFill="1" applyBorder="1"/>
    <xf numFmtId="3" fontId="35" fillId="7" borderId="37" xfId="0" applyNumberFormat="1" applyFont="1" applyFill="1" applyBorder="1"/>
    <xf numFmtId="3" fontId="34" fillId="0" borderId="0" xfId="0" applyNumberFormat="1" applyFont="1"/>
    <xf numFmtId="0" fontId="35" fillId="0" borderId="0" xfId="0" applyFont="1"/>
    <xf numFmtId="3" fontId="33" fillId="0" borderId="0" xfId="0" applyNumberFormat="1" applyFont="1"/>
    <xf numFmtId="3" fontId="33" fillId="0" borderId="38" xfId="0" applyNumberFormat="1" applyFont="1" applyBorder="1"/>
    <xf numFmtId="3" fontId="33" fillId="0" borderId="57" xfId="0" applyNumberFormat="1" applyFont="1" applyBorder="1"/>
    <xf numFmtId="3" fontId="33" fillId="0" borderId="69" xfId="0" applyNumberFormat="1" applyFont="1" applyBorder="1"/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/>
    <xf numFmtId="3" fontId="33" fillId="7" borderId="16" xfId="0" applyNumberFormat="1" applyFont="1" applyFill="1" applyBorder="1"/>
    <xf numFmtId="3" fontId="33" fillId="0" borderId="20" xfId="0" applyNumberFormat="1" applyFont="1" applyBorder="1"/>
    <xf numFmtId="3" fontId="33" fillId="0" borderId="13" xfId="0" applyNumberFormat="1" applyFont="1" applyBorder="1"/>
    <xf numFmtId="3" fontId="33" fillId="9" borderId="13" xfId="0" applyNumberFormat="1" applyFont="1" applyFill="1" applyBorder="1"/>
    <xf numFmtId="3" fontId="33" fillId="0" borderId="46" xfId="0" applyNumberFormat="1" applyFont="1" applyBorder="1"/>
    <xf numFmtId="3" fontId="33" fillId="9" borderId="18" xfId="0" applyNumberFormat="1" applyFont="1" applyFill="1" applyBorder="1"/>
    <xf numFmtId="3" fontId="33" fillId="0" borderId="71" xfId="0" applyNumberFormat="1" applyFont="1" applyBorder="1"/>
    <xf numFmtId="3" fontId="33" fillId="0" borderId="60" xfId="0" applyNumberFormat="1" applyFont="1" applyBorder="1"/>
    <xf numFmtId="0" fontId="39" fillId="23" borderId="0" xfId="0" applyFont="1" applyFill="1"/>
    <xf numFmtId="0" fontId="33" fillId="3" borderId="7" xfId="0" applyFont="1" applyFill="1" applyBorder="1" applyAlignment="1">
      <alignment wrapText="1"/>
    </xf>
    <xf numFmtId="3" fontId="33" fillId="0" borderId="58" xfId="0" applyNumberFormat="1" applyFont="1" applyBorder="1"/>
    <xf numFmtId="3" fontId="33" fillId="0" borderId="21" xfId="0" applyNumberFormat="1" applyFont="1" applyBorder="1"/>
    <xf numFmtId="3" fontId="33" fillId="9" borderId="14" xfId="0" applyNumberFormat="1" applyFont="1" applyFill="1" applyBorder="1"/>
    <xf numFmtId="3" fontId="33" fillId="0" borderId="62" xfId="0" applyNumberFormat="1" applyFont="1" applyBorder="1"/>
    <xf numFmtId="3" fontId="33" fillId="9" borderId="19" xfId="0" applyNumberFormat="1" applyFont="1" applyFill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0" fontId="35" fillId="3" borderId="32" xfId="0" applyFont="1" applyFill="1" applyBorder="1" applyAlignment="1">
      <alignment horizontal="center" wrapText="1"/>
    </xf>
    <xf numFmtId="0" fontId="35" fillId="3" borderId="33" xfId="0" applyFont="1" applyFill="1" applyBorder="1" applyAlignment="1">
      <alignment wrapText="1"/>
    </xf>
    <xf numFmtId="3" fontId="35" fillId="3" borderId="32" xfId="0" applyNumberFormat="1" applyFont="1" applyFill="1" applyBorder="1"/>
    <xf numFmtId="3" fontId="35" fillId="3" borderId="48" xfId="0" applyNumberFormat="1" applyFont="1" applyFill="1" applyBorder="1"/>
    <xf numFmtId="3" fontId="35" fillId="3" borderId="37" xfId="0" applyNumberFormat="1" applyFont="1" applyFill="1" applyBorder="1"/>
    <xf numFmtId="3" fontId="35" fillId="3" borderId="44" xfId="0" applyNumberFormat="1" applyFont="1" applyFill="1" applyBorder="1"/>
    <xf numFmtId="3" fontId="35" fillId="3" borderId="40" xfId="0" applyNumberFormat="1" applyFont="1" applyFill="1" applyBorder="1"/>
    <xf numFmtId="3" fontId="35" fillId="3" borderId="49" xfId="0" applyNumberFormat="1" applyFont="1" applyFill="1" applyBorder="1"/>
    <xf numFmtId="3" fontId="35" fillId="3" borderId="33" xfId="0" applyNumberFormat="1" applyFont="1" applyFill="1" applyBorder="1"/>
    <xf numFmtId="0" fontId="33" fillId="3" borderId="25" xfId="0" applyFont="1" applyFill="1" applyBorder="1" applyAlignment="1">
      <alignment horizontal="center"/>
    </xf>
    <xf numFmtId="3" fontId="33" fillId="7" borderId="17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0" fontId="33" fillId="5" borderId="25" xfId="0" applyFont="1" applyFill="1" applyBorder="1" applyAlignment="1">
      <alignment horizontal="center"/>
    </xf>
    <xf numFmtId="0" fontId="33" fillId="5" borderId="7" xfId="0" applyFont="1" applyFill="1" applyBorder="1" applyAlignment="1">
      <alignment wrapText="1"/>
    </xf>
    <xf numFmtId="3" fontId="33" fillId="0" borderId="19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0" fontId="35" fillId="3" borderId="25" xfId="0" applyFont="1" applyFill="1" applyBorder="1" applyAlignment="1">
      <alignment horizontal="center"/>
    </xf>
    <xf numFmtId="3" fontId="35" fillId="3" borderId="23" xfId="0" applyNumberFormat="1" applyFont="1" applyFill="1" applyBorder="1" applyAlignment="1">
      <alignment wrapText="1"/>
    </xf>
    <xf numFmtId="3" fontId="35" fillId="3" borderId="26" xfId="0" applyNumberFormat="1" applyFont="1" applyFill="1" applyBorder="1" applyAlignment="1">
      <alignment wrapText="1"/>
    </xf>
    <xf numFmtId="3" fontId="37" fillId="0" borderId="6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4" borderId="36" xfId="0" applyNumberFormat="1" applyFont="1" applyFill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7" borderId="36" xfId="0" applyNumberFormat="1" applyFont="1" applyFill="1" applyBorder="1"/>
    <xf numFmtId="3" fontId="33" fillId="0" borderId="41" xfId="0" applyNumberFormat="1" applyFont="1" applyBorder="1"/>
    <xf numFmtId="3" fontId="33" fillId="0" borderId="61" xfId="0" applyNumberFormat="1" applyFont="1" applyBorder="1"/>
    <xf numFmtId="3" fontId="33" fillId="0" borderId="2" xfId="0" applyNumberFormat="1" applyFont="1" applyBorder="1"/>
    <xf numFmtId="3" fontId="33" fillId="0" borderId="30" xfId="0" applyNumberFormat="1" applyFont="1" applyBorder="1"/>
    <xf numFmtId="3" fontId="35" fillId="7" borderId="2" xfId="0" applyNumberFormat="1" applyFont="1" applyFill="1" applyBorder="1"/>
    <xf numFmtId="3" fontId="35" fillId="3" borderId="2" xfId="0" applyNumberFormat="1" applyFont="1" applyFill="1" applyBorder="1"/>
    <xf numFmtId="3" fontId="35" fillId="7" borderId="3" xfId="0" applyNumberFormat="1" applyFont="1" applyFill="1" applyBorder="1"/>
    <xf numFmtId="3" fontId="35" fillId="3" borderId="22" xfId="0" applyNumberFormat="1" applyFont="1" applyFill="1" applyBorder="1"/>
    <xf numFmtId="3" fontId="35" fillId="3" borderId="5" xfId="0" applyNumberFormat="1" applyFont="1" applyFill="1" applyBorder="1"/>
    <xf numFmtId="3" fontId="35" fillId="3" borderId="30" xfId="0" applyNumberFormat="1" applyFont="1" applyFill="1" applyBorder="1"/>
    <xf numFmtId="3" fontId="35" fillId="3" borderId="1" xfId="0" applyNumberFormat="1" applyFont="1" applyFill="1" applyBorder="1"/>
    <xf numFmtId="3" fontId="35" fillId="3" borderId="50" xfId="0" applyNumberFormat="1" applyFont="1" applyFill="1" applyBorder="1"/>
    <xf numFmtId="3" fontId="35" fillId="3" borderId="56" xfId="0" applyNumberFormat="1" applyFont="1" applyFill="1" applyBorder="1"/>
    <xf numFmtId="0" fontId="33" fillId="0" borderId="0" xfId="0" applyFont="1" applyAlignment="1">
      <alignment horizontal="center"/>
    </xf>
    <xf numFmtId="0" fontId="33" fillId="23" borderId="0" xfId="0" applyFont="1" applyFill="1" applyAlignment="1">
      <alignment horizontal="center"/>
    </xf>
    <xf numFmtId="0" fontId="34" fillId="23" borderId="0" xfId="0" applyFont="1" applyFill="1"/>
    <xf numFmtId="0" fontId="33" fillId="10" borderId="0" xfId="0" applyFont="1" applyFill="1"/>
    <xf numFmtId="0" fontId="35" fillId="10" borderId="0" xfId="0" applyFont="1" applyFill="1" applyAlignment="1">
      <alignment horizontal="center"/>
    </xf>
    <xf numFmtId="3" fontId="33" fillId="10" borderId="0" xfId="0" applyNumberFormat="1" applyFont="1" applyFill="1"/>
    <xf numFmtId="3" fontId="37" fillId="10" borderId="0" xfId="0" applyNumberFormat="1" applyFont="1" applyFill="1"/>
    <xf numFmtId="3" fontId="41" fillId="10" borderId="0" xfId="0" applyNumberFormat="1" applyFont="1" applyFill="1" applyAlignment="1">
      <alignment horizontal="center"/>
    </xf>
    <xf numFmtId="3" fontId="42" fillId="10" borderId="0" xfId="0" applyNumberFormat="1" applyFont="1" applyFill="1" applyAlignment="1">
      <alignment horizontal="center"/>
    </xf>
    <xf numFmtId="0" fontId="43" fillId="22" borderId="0" xfId="0" applyFont="1" applyFill="1"/>
    <xf numFmtId="0" fontId="33" fillId="5" borderId="0" xfId="0" applyFont="1" applyFill="1"/>
    <xf numFmtId="3" fontId="37" fillId="5" borderId="47" xfId="0" applyNumberFormat="1" applyFont="1" applyFill="1" applyBorder="1"/>
    <xf numFmtId="0" fontId="35" fillId="0" borderId="44" xfId="0" applyFont="1" applyBorder="1" applyAlignment="1">
      <alignment vertical="center"/>
    </xf>
    <xf numFmtId="0" fontId="33" fillId="0" borderId="44" xfId="0" applyFont="1" applyBorder="1" applyAlignment="1">
      <alignment vertical="center"/>
    </xf>
    <xf numFmtId="3" fontId="44" fillId="0" borderId="46" xfId="0" applyNumberFormat="1" applyFont="1" applyBorder="1" applyAlignment="1">
      <alignment horizontal="center"/>
    </xf>
    <xf numFmtId="3" fontId="44" fillId="0" borderId="0" xfId="0" applyNumberFormat="1" applyFont="1" applyAlignment="1">
      <alignment horizontal="center"/>
    </xf>
    <xf numFmtId="0" fontId="32" fillId="22" borderId="0" xfId="0" applyFont="1" applyFill="1"/>
    <xf numFmtId="0" fontId="37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3" fontId="37" fillId="0" borderId="0" xfId="0" applyNumberFormat="1" applyFont="1"/>
    <xf numFmtId="3" fontId="41" fillId="0" borderId="0" xfId="0" applyNumberFormat="1" applyFont="1" applyAlignment="1">
      <alignment horizontal="center"/>
    </xf>
    <xf numFmtId="0" fontId="46" fillId="22" borderId="0" xfId="0" applyFont="1" applyFill="1"/>
    <xf numFmtId="0" fontId="33" fillId="0" borderId="0" xfId="0" applyFont="1" applyAlignment="1">
      <alignment horizontal="right"/>
    </xf>
    <xf numFmtId="3" fontId="41" fillId="0" borderId="0" xfId="0" applyNumberFormat="1" applyFont="1"/>
    <xf numFmtId="49" fontId="41" fillId="0" borderId="0" xfId="0" applyNumberFormat="1" applyFont="1"/>
    <xf numFmtId="0" fontId="47" fillId="22" borderId="0" xfId="0" applyFont="1" applyFill="1"/>
    <xf numFmtId="3" fontId="32" fillId="22" borderId="0" xfId="0" applyNumberFormat="1" applyFont="1" applyFill="1"/>
    <xf numFmtId="0" fontId="43" fillId="22" borderId="0" xfId="0" applyFont="1" applyFill="1" applyAlignment="1">
      <alignment vertical="center"/>
    </xf>
    <xf numFmtId="3" fontId="43" fillId="22" borderId="0" xfId="0" applyNumberFormat="1" applyFont="1" applyFill="1"/>
    <xf numFmtId="3" fontId="38" fillId="0" borderId="0" xfId="0" applyNumberFormat="1" applyFont="1"/>
    <xf numFmtId="0" fontId="44" fillId="0" borderId="0" xfId="0" applyFont="1"/>
    <xf numFmtId="0" fontId="44" fillId="0" borderId="47" xfId="0" applyFont="1" applyBorder="1"/>
    <xf numFmtId="3" fontId="44" fillId="0" borderId="0" xfId="0" applyNumberFormat="1" applyFont="1"/>
    <xf numFmtId="49" fontId="44" fillId="0" borderId="0" xfId="0" applyNumberFormat="1" applyFont="1"/>
    <xf numFmtId="0" fontId="49" fillId="22" borderId="0" xfId="0" applyFont="1" applyFill="1"/>
    <xf numFmtId="0" fontId="38" fillId="0" borderId="0" xfId="0" applyFont="1"/>
    <xf numFmtId="3" fontId="38" fillId="0" borderId="47" xfId="0" applyNumberFormat="1" applyFont="1" applyBorder="1"/>
    <xf numFmtId="3" fontId="48" fillId="22" borderId="0" xfId="0" applyNumberFormat="1" applyFont="1" applyFill="1"/>
    <xf numFmtId="0" fontId="48" fillId="22" borderId="0" xfId="0" applyFont="1" applyFill="1"/>
    <xf numFmtId="3" fontId="35" fillId="0" borderId="0" xfId="0" applyNumberFormat="1" applyFont="1"/>
    <xf numFmtId="164" fontId="36" fillId="0" borderId="0" xfId="1" applyFont="1"/>
    <xf numFmtId="164" fontId="35" fillId="4" borderId="0" xfId="1" applyFont="1" applyFill="1"/>
    <xf numFmtId="0" fontId="33" fillId="0" borderId="0" xfId="0" applyFont="1" applyAlignment="1">
      <alignment horizontal="center" wrapText="1"/>
    </xf>
    <xf numFmtId="3" fontId="49" fillId="22" borderId="0" xfId="0" applyNumberFormat="1" applyFont="1" applyFill="1"/>
    <xf numFmtId="0" fontId="35" fillId="0" borderId="0" xfId="0" applyFont="1" applyAlignment="1">
      <alignment horizontal="right"/>
    </xf>
    <xf numFmtId="3" fontId="44" fillId="0" borderId="47" xfId="0" applyNumberFormat="1" applyFont="1" applyBorder="1"/>
    <xf numFmtId="0" fontId="33" fillId="5" borderId="0" xfId="3" applyFont="1" applyFill="1"/>
    <xf numFmtId="0" fontId="44" fillId="5" borderId="0" xfId="0" applyFont="1" applyFill="1" applyAlignment="1">
      <alignment horizontal="right"/>
    </xf>
    <xf numFmtId="3" fontId="44" fillId="5" borderId="0" xfId="0" applyNumberFormat="1" applyFont="1" applyFill="1"/>
    <xf numFmtId="3" fontId="38" fillId="5" borderId="0" xfId="0" applyNumberFormat="1" applyFont="1" applyFill="1"/>
    <xf numFmtId="3" fontId="44" fillId="5" borderId="0" xfId="0" applyNumberFormat="1" applyFont="1" applyFill="1" applyAlignment="1">
      <alignment horizontal="center"/>
    </xf>
    <xf numFmtId="0" fontId="33" fillId="22" borderId="0" xfId="0" applyFont="1" applyFill="1"/>
    <xf numFmtId="0" fontId="35" fillId="22" borderId="0" xfId="0" applyFont="1" applyFill="1" applyAlignment="1">
      <alignment horizontal="center"/>
    </xf>
    <xf numFmtId="3" fontId="33" fillId="22" borderId="0" xfId="0" applyNumberFormat="1" applyFont="1" applyFill="1"/>
    <xf numFmtId="3" fontId="37" fillId="22" borderId="0" xfId="0" applyNumberFormat="1" applyFont="1" applyFill="1"/>
    <xf numFmtId="3" fontId="41" fillId="22" borderId="0" xfId="0" applyNumberFormat="1" applyFont="1" applyFill="1" applyAlignment="1">
      <alignment horizontal="center"/>
    </xf>
    <xf numFmtId="3" fontId="42" fillId="22" borderId="0" xfId="0" applyNumberFormat="1" applyFont="1" applyFill="1" applyAlignment="1">
      <alignment horizontal="center"/>
    </xf>
    <xf numFmtId="3" fontId="50" fillId="22" borderId="0" xfId="0" applyNumberFormat="1" applyFont="1" applyFill="1"/>
    <xf numFmtId="0" fontId="37" fillId="22" borderId="0" xfId="0" applyFont="1" applyFill="1"/>
    <xf numFmtId="4" fontId="37" fillId="22" borderId="0" xfId="0" applyNumberFormat="1" applyFont="1" applyFill="1"/>
    <xf numFmtId="3" fontId="35" fillId="5" borderId="0" xfId="0" applyNumberFormat="1" applyFont="1" applyFill="1"/>
    <xf numFmtId="0" fontId="33" fillId="0" borderId="25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3" fontId="35" fillId="3" borderId="3" xfId="0" applyNumberFormat="1" applyFont="1" applyFill="1" applyBorder="1"/>
    <xf numFmtId="3" fontId="35" fillId="22" borderId="0" xfId="0" applyNumberFormat="1" applyFont="1" applyFill="1"/>
    <xf numFmtId="3" fontId="33" fillId="0" borderId="0" xfId="0" applyNumberFormat="1" applyFont="1" applyAlignment="1">
      <alignment horizontal="center"/>
    </xf>
    <xf numFmtId="3" fontId="33" fillId="4" borderId="14" xfId="0" applyNumberFormat="1" applyFont="1" applyFill="1" applyBorder="1"/>
    <xf numFmtId="4" fontId="33" fillId="0" borderId="0" xfId="0" applyNumberFormat="1" applyFont="1"/>
    <xf numFmtId="4" fontId="33" fillId="0" borderId="0" xfId="0" applyNumberFormat="1" applyFont="1" applyAlignment="1">
      <alignment horizontal="center"/>
    </xf>
    <xf numFmtId="0" fontId="35" fillId="0" borderId="0" xfId="5" applyFont="1" applyAlignment="1">
      <alignment horizontal="left"/>
    </xf>
    <xf numFmtId="166" fontId="33" fillId="0" borderId="0" xfId="0" applyNumberFormat="1" applyFont="1" applyAlignment="1">
      <alignment horizontal="right"/>
    </xf>
    <xf numFmtId="170" fontId="35" fillId="0" borderId="0" xfId="0" applyNumberFormat="1" applyFont="1"/>
    <xf numFmtId="171" fontId="33" fillId="0" borderId="0" xfId="0" applyNumberFormat="1" applyFont="1" applyAlignment="1">
      <alignment horizontal="center"/>
    </xf>
    <xf numFmtId="0" fontId="35" fillId="2" borderId="1" xfId="5" applyFont="1" applyFill="1" applyBorder="1" applyAlignment="1">
      <alignment horizontal="center" vertical="center"/>
    </xf>
    <xf numFmtId="0" fontId="35" fillId="2" borderId="2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0" fontId="37" fillId="4" borderId="2" xfId="5" applyFont="1" applyFill="1" applyBorder="1" applyAlignment="1">
      <alignment horizontal="center" vertical="center" wrapText="1"/>
    </xf>
    <xf numFmtId="0" fontId="37" fillId="4" borderId="50" xfId="5" applyFont="1" applyFill="1" applyBorder="1" applyAlignment="1">
      <alignment horizontal="center" vertical="center" wrapText="1"/>
    </xf>
    <xf numFmtId="0" fontId="35" fillId="6" borderId="2" xfId="5" applyFont="1" applyFill="1" applyBorder="1" applyAlignment="1">
      <alignment horizontal="center" vertical="center" wrapText="1"/>
    </xf>
    <xf numFmtId="0" fontId="35" fillId="2" borderId="56" xfId="5" applyFont="1" applyFill="1" applyBorder="1" applyAlignment="1">
      <alignment horizontal="center" vertical="center" wrapText="1"/>
    </xf>
    <xf numFmtId="0" fontId="37" fillId="4" borderId="56" xfId="5" applyFont="1" applyFill="1" applyBorder="1" applyAlignment="1">
      <alignment horizontal="center" vertical="center" wrapText="1"/>
    </xf>
    <xf numFmtId="0" fontId="37" fillId="4" borderId="5" xfId="5" applyFont="1" applyFill="1" applyBorder="1" applyAlignment="1">
      <alignment horizontal="center" vertical="center" wrapText="1"/>
    </xf>
    <xf numFmtId="0" fontId="33" fillId="2" borderId="2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30" xfId="5" applyFont="1" applyFill="1" applyBorder="1" applyAlignment="1">
      <alignment vertical="center"/>
    </xf>
    <xf numFmtId="0" fontId="37" fillId="2" borderId="1" xfId="5" applyFont="1" applyFill="1" applyBorder="1" applyAlignment="1">
      <alignment horizontal="center" vertical="center" wrapText="1"/>
    </xf>
    <xf numFmtId="0" fontId="37" fillId="2" borderId="5" xfId="5" applyFont="1" applyFill="1" applyBorder="1" applyAlignment="1">
      <alignment horizontal="center" vertical="center" wrapText="1"/>
    </xf>
    <xf numFmtId="0" fontId="37" fillId="2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7" fillId="2" borderId="6" xfId="5" applyFont="1" applyFill="1" applyBorder="1" applyAlignment="1">
      <alignment horizontal="center" vertical="center" wrapText="1"/>
    </xf>
    <xf numFmtId="0" fontId="37" fillId="2" borderId="3" xfId="5" applyFont="1" applyFill="1" applyBorder="1" applyAlignment="1">
      <alignment horizontal="center" vertical="center" wrapText="1"/>
    </xf>
    <xf numFmtId="3" fontId="35" fillId="0" borderId="16" xfId="0" applyNumberFormat="1" applyFont="1" applyBorder="1"/>
    <xf numFmtId="3" fontId="33" fillId="0" borderId="23" xfId="0" applyNumberFormat="1" applyFont="1" applyBorder="1"/>
    <xf numFmtId="3" fontId="33" fillId="0" borderId="25" xfId="0" applyNumberFormat="1" applyFont="1" applyBorder="1"/>
    <xf numFmtId="3" fontId="37" fillId="0" borderId="25" xfId="0" applyNumberFormat="1" applyFont="1" applyBorder="1"/>
    <xf numFmtId="3" fontId="37" fillId="0" borderId="26" xfId="0" applyNumberFormat="1" applyFont="1" applyBorder="1"/>
    <xf numFmtId="3" fontId="37" fillId="6" borderId="17" xfId="0" applyNumberFormat="1" applyFont="1" applyFill="1" applyBorder="1"/>
    <xf numFmtId="3" fontId="33" fillId="0" borderId="7" xfId="0" applyNumberFormat="1" applyFont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37" fillId="0" borderId="14" xfId="0" applyNumberFormat="1" applyFont="1" applyBorder="1"/>
    <xf numFmtId="3" fontId="37" fillId="0" borderId="70" xfId="0" applyNumberFormat="1" applyFont="1" applyBorder="1"/>
    <xf numFmtId="3" fontId="34" fillId="6" borderId="58" xfId="0" applyNumberFormat="1" applyFont="1" applyFill="1" applyBorder="1"/>
    <xf numFmtId="3" fontId="33" fillId="0" borderId="8" xfId="0" applyNumberFormat="1" applyFont="1" applyBorder="1"/>
    <xf numFmtId="3" fontId="35" fillId="3" borderId="34" xfId="0" applyNumberFormat="1" applyFont="1" applyFill="1" applyBorder="1"/>
    <xf numFmtId="3" fontId="38" fillId="3" borderId="37" xfId="0" applyNumberFormat="1" applyFont="1" applyFill="1" applyBorder="1"/>
    <xf numFmtId="3" fontId="38" fillId="3" borderId="49" xfId="0" applyNumberFormat="1" applyFont="1" applyFill="1" applyBorder="1"/>
    <xf numFmtId="3" fontId="36" fillId="6" borderId="32" xfId="0" applyNumberFormat="1" applyFont="1" applyFill="1" applyBorder="1"/>
    <xf numFmtId="3" fontId="35" fillId="3" borderId="35" xfId="0" applyNumberFormat="1" applyFont="1" applyFill="1" applyBorder="1"/>
    <xf numFmtId="3" fontId="33" fillId="6" borderId="17" xfId="0" applyNumberFormat="1" applyFont="1" applyFill="1" applyBorder="1"/>
    <xf numFmtId="3" fontId="33" fillId="6" borderId="58" xfId="0" applyNumberFormat="1" applyFont="1" applyFill="1" applyBorder="1"/>
    <xf numFmtId="3" fontId="34" fillId="21" borderId="58" xfId="0" applyNumberFormat="1" applyFont="1" applyFill="1" applyBorder="1"/>
    <xf numFmtId="3" fontId="37" fillId="4" borderId="14" xfId="0" applyNumberFormat="1" applyFont="1" applyFill="1" applyBorder="1"/>
    <xf numFmtId="0" fontId="37" fillId="3" borderId="25" xfId="0" applyFont="1" applyFill="1" applyBorder="1" applyAlignment="1">
      <alignment horizontal="center"/>
    </xf>
    <xf numFmtId="0" fontId="37" fillId="3" borderId="7" xfId="0" applyFont="1" applyFill="1" applyBorder="1" applyAlignment="1">
      <alignment wrapText="1"/>
    </xf>
    <xf numFmtId="3" fontId="38" fillId="0" borderId="11" xfId="0" applyNumberFormat="1" applyFont="1" applyBorder="1"/>
    <xf numFmtId="3" fontId="37" fillId="0" borderId="19" xfId="0" applyNumberFormat="1" applyFont="1" applyBorder="1"/>
    <xf numFmtId="3" fontId="37" fillId="0" borderId="8" xfId="0" applyNumberFormat="1" applyFont="1" applyBorder="1"/>
    <xf numFmtId="0" fontId="33" fillId="3" borderId="62" xfId="0" applyFont="1" applyFill="1" applyBorder="1" applyAlignment="1">
      <alignment horizontal="center"/>
    </xf>
    <xf numFmtId="0" fontId="33" fillId="3" borderId="43" xfId="0" applyFont="1" applyFill="1" applyBorder="1" applyAlignment="1">
      <alignment wrapText="1"/>
    </xf>
    <xf numFmtId="3" fontId="35" fillId="0" borderId="12" xfId="0" applyNumberFormat="1" applyFont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3" fillId="3" borderId="0" xfId="0" applyFont="1" applyFill="1" applyAlignment="1">
      <alignment horizontal="center"/>
    </xf>
    <xf numFmtId="0" fontId="33" fillId="3" borderId="27" xfId="0" applyFont="1" applyFill="1" applyBorder="1" applyAlignment="1">
      <alignment wrapText="1"/>
    </xf>
    <xf numFmtId="3" fontId="35" fillId="0" borderId="36" xfId="0" applyNumberFormat="1" applyFont="1" applyBorder="1"/>
    <xf numFmtId="3" fontId="33" fillId="0" borderId="18" xfId="0" applyNumberFormat="1" applyFont="1" applyBorder="1"/>
    <xf numFmtId="3" fontId="35" fillId="0" borderId="13" xfId="0" applyNumberFormat="1" applyFont="1" applyBorder="1"/>
    <xf numFmtId="3" fontId="38" fillId="0" borderId="13" xfId="0" applyNumberFormat="1" applyFont="1" applyBorder="1"/>
    <xf numFmtId="3" fontId="38" fillId="0" borderId="71" xfId="0" applyNumberFormat="1" applyFont="1" applyBorder="1"/>
    <xf numFmtId="3" fontId="35" fillId="6" borderId="15" xfId="0" applyNumberFormat="1" applyFont="1" applyFill="1" applyBorder="1"/>
    <xf numFmtId="3" fontId="35" fillId="0" borderId="31" xfId="0" applyNumberFormat="1" applyFont="1" applyBorder="1"/>
    <xf numFmtId="0" fontId="33" fillId="3" borderId="14" xfId="0" applyFont="1" applyFill="1" applyBorder="1" applyAlignment="1">
      <alignment wrapText="1"/>
    </xf>
    <xf numFmtId="3" fontId="35" fillId="0" borderId="38" xfId="0" applyNumberFormat="1" applyFont="1" applyBorder="1"/>
    <xf numFmtId="3" fontId="38" fillId="0" borderId="38" xfId="0" applyNumberFormat="1" applyFont="1" applyBorder="1"/>
    <xf numFmtId="3" fontId="38" fillId="0" borderId="69" xfId="0" applyNumberFormat="1" applyFont="1" applyBorder="1"/>
    <xf numFmtId="3" fontId="35" fillId="6" borderId="59" xfId="0" applyNumberFormat="1" applyFont="1" applyFill="1" applyBorder="1"/>
    <xf numFmtId="3" fontId="35" fillId="0" borderId="39" xfId="0" applyNumberFormat="1" applyFont="1" applyBorder="1"/>
    <xf numFmtId="4" fontId="35" fillId="0" borderId="36" xfId="0" applyNumberFormat="1" applyFont="1" applyBorder="1"/>
    <xf numFmtId="3" fontId="35" fillId="0" borderId="41" xfId="0" applyNumberFormat="1" applyFont="1" applyBorder="1"/>
    <xf numFmtId="0" fontId="33" fillId="3" borderId="26" xfId="0" applyFont="1" applyFill="1" applyBorder="1" applyAlignment="1">
      <alignment horizontal="center"/>
    </xf>
    <xf numFmtId="3" fontId="37" fillId="5" borderId="70" xfId="0" applyNumberFormat="1" applyFont="1" applyFill="1" applyBorder="1"/>
    <xf numFmtId="3" fontId="35" fillId="0" borderId="29" xfId="0" applyNumberFormat="1" applyFont="1" applyBorder="1"/>
    <xf numFmtId="3" fontId="35" fillId="0" borderId="24" xfId="0" applyNumberFormat="1" applyFont="1" applyBorder="1"/>
    <xf numFmtId="3" fontId="38" fillId="0" borderId="24" xfId="0" applyNumberFormat="1" applyFont="1" applyBorder="1"/>
    <xf numFmtId="3" fontId="38" fillId="0" borderId="72" xfId="0" applyNumberFormat="1" applyFont="1" applyBorder="1"/>
    <xf numFmtId="3" fontId="35" fillId="6" borderId="73" xfId="0" applyNumberFormat="1" applyFont="1" applyFill="1" applyBorder="1"/>
    <xf numFmtId="3" fontId="35" fillId="0" borderId="9" xfId="0" applyNumberFormat="1" applyFont="1" applyBorder="1"/>
    <xf numFmtId="0" fontId="33" fillId="3" borderId="28" xfId="0" applyFont="1" applyFill="1" applyBorder="1" applyAlignment="1">
      <alignment wrapText="1"/>
    </xf>
    <xf numFmtId="3" fontId="38" fillId="3" borderId="5" xfId="0" applyNumberFormat="1" applyFont="1" applyFill="1" applyBorder="1"/>
    <xf numFmtId="3" fontId="38" fillId="3" borderId="50" xfId="0" applyNumberFormat="1" applyFont="1" applyFill="1" applyBorder="1"/>
    <xf numFmtId="3" fontId="36" fillId="6" borderId="2" xfId="0" applyNumberFormat="1" applyFont="1" applyFill="1" applyBorder="1"/>
    <xf numFmtId="3" fontId="35" fillId="3" borderId="6" xfId="0" applyNumberFormat="1" applyFont="1" applyFill="1" applyBorder="1"/>
    <xf numFmtId="3" fontId="35" fillId="3" borderId="3" xfId="0" applyNumberFormat="1" applyFont="1" applyFill="1" applyBorder="1" applyAlignment="1">
      <alignment horizontal="right"/>
    </xf>
    <xf numFmtId="3" fontId="36" fillId="5" borderId="0" xfId="0" applyNumberFormat="1" applyFont="1" applyFill="1"/>
    <xf numFmtId="166" fontId="33" fillId="5" borderId="0" xfId="0" applyNumberFormat="1" applyFont="1" applyFill="1" applyAlignment="1">
      <alignment horizontal="right"/>
    </xf>
    <xf numFmtId="3" fontId="33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41" fillId="22" borderId="0" xfId="0" applyNumberFormat="1" applyFont="1" applyFill="1"/>
    <xf numFmtId="4" fontId="33" fillId="22" borderId="0" xfId="0" applyNumberFormat="1" applyFont="1" applyFill="1"/>
    <xf numFmtId="4" fontId="33" fillId="22" borderId="0" xfId="0" applyNumberFormat="1" applyFont="1" applyFill="1" applyAlignment="1">
      <alignment horizontal="center"/>
    </xf>
    <xf numFmtId="0" fontId="33" fillId="22" borderId="0" xfId="0" applyFont="1" applyFill="1" applyAlignment="1">
      <alignment horizontal="center"/>
    </xf>
    <xf numFmtId="0" fontId="35" fillId="22" borderId="0" xfId="0" applyFont="1" applyFill="1"/>
    <xf numFmtId="0" fontId="41" fillId="22" borderId="0" xfId="0" applyFont="1" applyFill="1"/>
    <xf numFmtId="3" fontId="37" fillId="0" borderId="43" xfId="0" applyNumberFormat="1" applyFont="1" applyBorder="1"/>
    <xf numFmtId="3" fontId="33" fillId="0" borderId="42" xfId="0" applyNumberFormat="1" applyFont="1" applyBorder="1"/>
    <xf numFmtId="3" fontId="33" fillId="0" borderId="75" xfId="0" applyNumberFormat="1" applyFont="1" applyBorder="1"/>
    <xf numFmtId="0" fontId="54" fillId="5" borderId="0" xfId="0" applyFont="1" applyFill="1"/>
    <xf numFmtId="0" fontId="55" fillId="5" borderId="0" xfId="0" applyFont="1" applyFill="1"/>
    <xf numFmtId="49" fontId="35" fillId="5" borderId="0" xfId="0" applyNumberFormat="1" applyFont="1" applyFill="1" applyAlignment="1">
      <alignment horizontal="left" vertical="center"/>
    </xf>
    <xf numFmtId="0" fontId="54" fillId="12" borderId="0" xfId="0" applyFont="1" applyFill="1"/>
    <xf numFmtId="0" fontId="33" fillId="12" borderId="0" xfId="0" applyFont="1" applyFill="1"/>
    <xf numFmtId="0" fontId="54" fillId="12" borderId="0" xfId="0" applyFont="1" applyFill="1" applyAlignment="1">
      <alignment horizontal="center"/>
    </xf>
    <xf numFmtId="0" fontId="33" fillId="13" borderId="0" xfId="0" applyFont="1" applyFill="1"/>
    <xf numFmtId="0" fontId="54" fillId="13" borderId="0" xfId="0" applyFont="1" applyFill="1" applyAlignment="1">
      <alignment horizontal="center"/>
    </xf>
    <xf numFmtId="0" fontId="54" fillId="13" borderId="0" xfId="0" applyFont="1" applyFill="1"/>
    <xf numFmtId="0" fontId="54" fillId="5" borderId="1" xfId="0" applyFont="1" applyFill="1" applyBorder="1"/>
    <xf numFmtId="0" fontId="54" fillId="5" borderId="5" xfId="0" applyFont="1" applyFill="1" applyBorder="1"/>
    <xf numFmtId="0" fontId="54" fillId="5" borderId="5" xfId="0" applyFont="1" applyFill="1" applyBorder="1" applyAlignment="1">
      <alignment horizontal="center"/>
    </xf>
    <xf numFmtId="0" fontId="54" fillId="5" borderId="50" xfId="0" applyFont="1" applyFill="1" applyBorder="1"/>
    <xf numFmtId="0" fontId="54" fillId="5" borderId="3" xfId="0" applyFont="1" applyFill="1" applyBorder="1"/>
    <xf numFmtId="0" fontId="33" fillId="14" borderId="23" xfId="0" applyFont="1" applyFill="1" applyBorder="1"/>
    <xf numFmtId="0" fontId="33" fillId="14" borderId="25" xfId="0" applyFont="1" applyFill="1" applyBorder="1" applyAlignment="1">
      <alignment horizontal="right" indent="5"/>
    </xf>
    <xf numFmtId="169" fontId="33" fillId="14" borderId="25" xfId="0" applyNumberFormat="1" applyFont="1" applyFill="1" applyBorder="1" applyAlignment="1">
      <alignment horizontal="right" indent="1"/>
    </xf>
    <xf numFmtId="0" fontId="33" fillId="14" borderId="25" xfId="0" applyFont="1" applyFill="1" applyBorder="1"/>
    <xf numFmtId="0" fontId="33" fillId="14" borderId="25" xfId="0" applyFont="1" applyFill="1" applyBorder="1" applyAlignment="1">
      <alignment horizontal="center"/>
    </xf>
    <xf numFmtId="0" fontId="37" fillId="14" borderId="25" xfId="0" applyFont="1" applyFill="1" applyBorder="1"/>
    <xf numFmtId="0" fontId="37" fillId="14" borderId="26" xfId="0" applyFont="1" applyFill="1" applyBorder="1"/>
    <xf numFmtId="0" fontId="33" fillId="14" borderId="10" xfId="0" applyFont="1" applyFill="1" applyBorder="1"/>
    <xf numFmtId="0" fontId="33" fillId="14" borderId="14" xfId="0" applyFont="1" applyFill="1" applyBorder="1"/>
    <xf numFmtId="0" fontId="38" fillId="14" borderId="25" xfId="0" applyFont="1" applyFill="1" applyBorder="1" applyAlignment="1">
      <alignment horizontal="center"/>
    </xf>
    <xf numFmtId="0" fontId="33" fillId="4" borderId="23" xfId="0" applyFont="1" applyFill="1" applyBorder="1" applyAlignment="1">
      <alignment wrapText="1"/>
    </xf>
    <xf numFmtId="0" fontId="33" fillId="14" borderId="23" xfId="0" applyFont="1" applyFill="1" applyBorder="1" applyAlignment="1">
      <alignment wrapText="1"/>
    </xf>
    <xf numFmtId="169" fontId="33" fillId="4" borderId="25" xfId="0" applyNumberFormat="1" applyFont="1" applyFill="1" applyBorder="1" applyAlignment="1">
      <alignment horizontal="right" indent="1"/>
    </xf>
    <xf numFmtId="0" fontId="33" fillId="15" borderId="23" xfId="0" applyFont="1" applyFill="1" applyBorder="1" applyAlignment="1">
      <alignment wrapText="1"/>
    </xf>
    <xf numFmtId="0" fontId="33" fillId="15" borderId="25" xfId="0" applyFont="1" applyFill="1" applyBorder="1" applyAlignment="1">
      <alignment horizontal="right" indent="5"/>
    </xf>
    <xf numFmtId="169" fontId="33" fillId="15" borderId="25" xfId="0" applyNumberFormat="1" applyFont="1" applyFill="1" applyBorder="1" applyAlignment="1">
      <alignment horizontal="right" indent="1"/>
    </xf>
    <xf numFmtId="0" fontId="33" fillId="15" borderId="14" xfId="0" applyFont="1" applyFill="1" applyBorder="1"/>
    <xf numFmtId="0" fontId="38" fillId="15" borderId="25" xfId="0" applyFont="1" applyFill="1" applyBorder="1" applyAlignment="1">
      <alignment horizontal="center"/>
    </xf>
    <xf numFmtId="0" fontId="33" fillId="15" borderId="25" xfId="0" applyFont="1" applyFill="1" applyBorder="1" applyAlignment="1">
      <alignment horizontal="center"/>
    </xf>
    <xf numFmtId="0" fontId="37" fillId="15" borderId="25" xfId="0" applyFont="1" applyFill="1" applyBorder="1"/>
    <xf numFmtId="0" fontId="37" fillId="15" borderId="26" xfId="0" applyFont="1" applyFill="1" applyBorder="1"/>
    <xf numFmtId="0" fontId="33" fillId="15" borderId="10" xfId="0" applyFont="1" applyFill="1" applyBorder="1"/>
    <xf numFmtId="0" fontId="33" fillId="14" borderId="19" xfId="0" applyFont="1" applyFill="1" applyBorder="1"/>
    <xf numFmtId="0" fontId="33" fillId="14" borderId="14" xfId="0" applyFont="1" applyFill="1" applyBorder="1" applyAlignment="1">
      <alignment horizontal="right" indent="5"/>
    </xf>
    <xf numFmtId="169" fontId="33" fillId="14" borderId="14" xfId="0" applyNumberFormat="1" applyFont="1" applyFill="1" applyBorder="1" applyAlignment="1">
      <alignment horizontal="right" indent="1"/>
    </xf>
    <xf numFmtId="0" fontId="33" fillId="14" borderId="14" xfId="0" applyFont="1" applyFill="1" applyBorder="1" applyAlignment="1">
      <alignment horizontal="center"/>
    </xf>
    <xf numFmtId="0" fontId="37" fillId="14" borderId="14" xfId="0" applyFont="1" applyFill="1" applyBorder="1"/>
    <xf numFmtId="0" fontId="37" fillId="14" borderId="70" xfId="0" applyFont="1" applyFill="1" applyBorder="1"/>
    <xf numFmtId="0" fontId="33" fillId="14" borderId="11" xfId="0" applyFont="1" applyFill="1" applyBorder="1"/>
    <xf numFmtId="0" fontId="33" fillId="15" borderId="19" xfId="0" applyFont="1" applyFill="1" applyBorder="1"/>
    <xf numFmtId="0" fontId="33" fillId="15" borderId="14" xfId="0" applyFont="1" applyFill="1" applyBorder="1" applyAlignment="1">
      <alignment horizontal="right" indent="5"/>
    </xf>
    <xf numFmtId="169" fontId="33" fillId="15" borderId="14" xfId="0" applyNumberFormat="1" applyFont="1" applyFill="1" applyBorder="1" applyAlignment="1">
      <alignment horizontal="right" indent="1"/>
    </xf>
    <xf numFmtId="0" fontId="33" fillId="15" borderId="14" xfId="0" applyFont="1" applyFill="1" applyBorder="1" applyAlignment="1">
      <alignment horizontal="center"/>
    </xf>
    <xf numFmtId="0" fontId="38" fillId="15" borderId="14" xfId="0" applyFont="1" applyFill="1" applyBorder="1" applyAlignment="1">
      <alignment horizontal="center"/>
    </xf>
    <xf numFmtId="0" fontId="37" fillId="15" borderId="14" xfId="0" applyFont="1" applyFill="1" applyBorder="1"/>
    <xf numFmtId="0" fontId="37" fillId="15" borderId="70" xfId="0" applyFont="1" applyFill="1" applyBorder="1"/>
    <xf numFmtId="0" fontId="33" fillId="15" borderId="11" xfId="0" applyFont="1" applyFill="1" applyBorder="1"/>
    <xf numFmtId="0" fontId="38" fillId="14" borderId="14" xfId="0" applyFont="1" applyFill="1" applyBorder="1" applyAlignment="1">
      <alignment horizontal="center"/>
    </xf>
    <xf numFmtId="0" fontId="33" fillId="4" borderId="19" xfId="0" applyFont="1" applyFill="1" applyBorder="1"/>
    <xf numFmtId="0" fontId="33" fillId="14" borderId="37" xfId="0" applyFont="1" applyFill="1" applyBorder="1"/>
    <xf numFmtId="0" fontId="38" fillId="14" borderId="37" xfId="0" applyFont="1" applyFill="1" applyBorder="1" applyAlignment="1">
      <alignment horizontal="center"/>
    </xf>
    <xf numFmtId="0" fontId="37" fillId="14" borderId="37" xfId="0" applyFont="1" applyFill="1" applyBorder="1"/>
    <xf numFmtId="0" fontId="37" fillId="14" borderId="49" xfId="0" applyFont="1" applyFill="1" applyBorder="1"/>
    <xf numFmtId="0" fontId="33" fillId="14" borderId="34" xfId="0" applyFont="1" applyFill="1" applyBorder="1"/>
    <xf numFmtId="3" fontId="33" fillId="5" borderId="0" xfId="0" applyNumberFormat="1" applyFont="1" applyFill="1" applyAlignment="1">
      <alignment horizontal="right" indent="5"/>
    </xf>
    <xf numFmtId="169" fontId="33" fillId="5" borderId="0" xfId="0" applyNumberFormat="1" applyFont="1" applyFill="1"/>
    <xf numFmtId="0" fontId="54" fillId="5" borderId="56" xfId="0" applyFont="1" applyFill="1" applyBorder="1"/>
    <xf numFmtId="0" fontId="33" fillId="5" borderId="25" xfId="0" applyFont="1" applyFill="1" applyBorder="1"/>
    <xf numFmtId="0" fontId="33" fillId="5" borderId="27" xfId="0" applyFont="1" applyFill="1" applyBorder="1"/>
    <xf numFmtId="0" fontId="33" fillId="15" borderId="25" xfId="0" applyFont="1" applyFill="1" applyBorder="1"/>
    <xf numFmtId="0" fontId="33" fillId="15" borderId="23" xfId="0" applyFont="1" applyFill="1" applyBorder="1"/>
    <xf numFmtId="3" fontId="33" fillId="14" borderId="25" xfId="0" applyNumberFormat="1" applyFont="1" applyFill="1" applyBorder="1" applyAlignment="1">
      <alignment horizontal="right" indent="5"/>
    </xf>
    <xf numFmtId="0" fontId="33" fillId="7" borderId="19" xfId="0" applyFont="1" applyFill="1" applyBorder="1"/>
    <xf numFmtId="0" fontId="33" fillId="7" borderId="14" xfId="0" applyFont="1" applyFill="1" applyBorder="1" applyAlignment="1">
      <alignment horizontal="right" indent="5"/>
    </xf>
    <xf numFmtId="169" fontId="33" fillId="7" borderId="14" xfId="0" applyNumberFormat="1" applyFont="1" applyFill="1" applyBorder="1" applyAlignment="1">
      <alignment horizontal="right" indent="1"/>
    </xf>
    <xf numFmtId="0" fontId="33" fillId="7" borderId="14" xfId="0" applyFont="1" applyFill="1" applyBorder="1"/>
    <xf numFmtId="0" fontId="33" fillId="5" borderId="14" xfId="0" applyFont="1" applyFill="1" applyBorder="1"/>
    <xf numFmtId="0" fontId="33" fillId="5" borderId="43" xfId="0" applyFont="1" applyFill="1" applyBorder="1"/>
    <xf numFmtId="0" fontId="33" fillId="14" borderId="19" xfId="0" applyFont="1" applyFill="1" applyBorder="1" applyAlignment="1">
      <alignment wrapText="1"/>
    </xf>
    <xf numFmtId="0" fontId="33" fillId="5" borderId="19" xfId="0" applyFont="1" applyFill="1" applyBorder="1"/>
    <xf numFmtId="3" fontId="33" fillId="5" borderId="14" xfId="0" applyNumberFormat="1" applyFont="1" applyFill="1" applyBorder="1" applyAlignment="1">
      <alignment horizontal="right" indent="5"/>
    </xf>
    <xf numFmtId="169" fontId="33" fillId="5" borderId="14" xfId="0" applyNumberFormat="1" applyFont="1" applyFill="1" applyBorder="1" applyAlignment="1">
      <alignment horizontal="right" indent="1"/>
    </xf>
    <xf numFmtId="0" fontId="33" fillId="5" borderId="14" xfId="0" applyFont="1" applyFill="1" applyBorder="1" applyAlignment="1">
      <alignment horizontal="right" indent="5"/>
    </xf>
    <xf numFmtId="0" fontId="33" fillId="5" borderId="40" xfId="0" applyFont="1" applyFill="1" applyBorder="1"/>
    <xf numFmtId="0" fontId="33" fillId="5" borderId="37" xfId="0" applyFont="1" applyFill="1" applyBorder="1" applyAlignment="1">
      <alignment horizontal="right" indent="5"/>
    </xf>
    <xf numFmtId="169" fontId="33" fillId="5" borderId="51" xfId="0" applyNumberFormat="1" applyFont="1" applyFill="1" applyBorder="1" applyAlignment="1">
      <alignment horizontal="right" indent="1"/>
    </xf>
    <xf numFmtId="169" fontId="33" fillId="5" borderId="37" xfId="0" applyNumberFormat="1" applyFont="1" applyFill="1" applyBorder="1" applyAlignment="1">
      <alignment horizontal="right" indent="1"/>
    </xf>
    <xf numFmtId="0" fontId="33" fillId="5" borderId="37" xfId="0" applyFont="1" applyFill="1" applyBorder="1"/>
    <xf numFmtId="0" fontId="33" fillId="5" borderId="33" xfId="0" applyFont="1" applyFill="1" applyBorder="1"/>
    <xf numFmtId="0" fontId="54" fillId="5" borderId="22" xfId="0" applyFont="1" applyFill="1" applyBorder="1"/>
    <xf numFmtId="169" fontId="33" fillId="15" borderId="23" xfId="0" applyNumberFormat="1" applyFont="1" applyFill="1" applyBorder="1" applyAlignment="1">
      <alignment horizontal="right" indent="1"/>
    </xf>
    <xf numFmtId="169" fontId="33" fillId="15" borderId="42" xfId="0" applyNumberFormat="1" applyFont="1" applyFill="1" applyBorder="1" applyAlignment="1">
      <alignment horizontal="right" indent="1"/>
    </xf>
    <xf numFmtId="169" fontId="33" fillId="14" borderId="23" xfId="0" applyNumberFormat="1" applyFont="1" applyFill="1" applyBorder="1" applyAlignment="1">
      <alignment horizontal="right" indent="1"/>
    </xf>
    <xf numFmtId="169" fontId="33" fillId="14" borderId="42" xfId="0" applyNumberFormat="1" applyFont="1" applyFill="1" applyBorder="1" applyAlignment="1">
      <alignment horizontal="right" indent="1"/>
    </xf>
    <xf numFmtId="0" fontId="33" fillId="16" borderId="10" xfId="0" applyFont="1" applyFill="1" applyBorder="1"/>
    <xf numFmtId="169" fontId="33" fillId="16" borderId="19" xfId="0" applyNumberFormat="1" applyFont="1" applyFill="1" applyBorder="1" applyAlignment="1">
      <alignment horizontal="right" indent="1"/>
    </xf>
    <xf numFmtId="169" fontId="33" fillId="16" borderId="42" xfId="0" applyNumberFormat="1" applyFont="1" applyFill="1" applyBorder="1" applyAlignment="1">
      <alignment horizontal="right" indent="1"/>
    </xf>
    <xf numFmtId="0" fontId="33" fillId="16" borderId="25" xfId="0" applyFont="1" applyFill="1" applyBorder="1"/>
    <xf numFmtId="169" fontId="33" fillId="14" borderId="19" xfId="0" applyNumberFormat="1" applyFont="1" applyFill="1" applyBorder="1" applyAlignment="1">
      <alignment horizontal="right" indent="1"/>
    </xf>
    <xf numFmtId="169" fontId="33" fillId="15" borderId="19" xfId="0" applyNumberFormat="1" applyFont="1" applyFill="1" applyBorder="1" applyAlignment="1">
      <alignment horizontal="right" indent="1"/>
    </xf>
    <xf numFmtId="169" fontId="33" fillId="14" borderId="40" xfId="0" applyNumberFormat="1" applyFont="1" applyFill="1" applyBorder="1" applyAlignment="1">
      <alignment horizontal="right" indent="1"/>
    </xf>
    <xf numFmtId="169" fontId="33" fillId="14" borderId="48" xfId="0" applyNumberFormat="1" applyFont="1" applyFill="1" applyBorder="1" applyAlignment="1">
      <alignment horizontal="right" indent="1"/>
    </xf>
    <xf numFmtId="169" fontId="33" fillId="4" borderId="37" xfId="0" applyNumberFormat="1" applyFont="1" applyFill="1" applyBorder="1" applyAlignment="1">
      <alignment horizontal="right" indent="1"/>
    </xf>
    <xf numFmtId="169" fontId="33" fillId="5" borderId="37" xfId="0" applyNumberFormat="1" applyFont="1" applyFill="1" applyBorder="1"/>
    <xf numFmtId="0" fontId="33" fillId="15" borderId="27" xfId="0" applyFont="1" applyFill="1" applyBorder="1"/>
    <xf numFmtId="0" fontId="33" fillId="14" borderId="10" xfId="0" applyFont="1" applyFill="1" applyBorder="1" applyAlignment="1">
      <alignment wrapText="1"/>
    </xf>
    <xf numFmtId="0" fontId="33" fillId="14" borderId="27" xfId="0" applyFont="1" applyFill="1" applyBorder="1"/>
    <xf numFmtId="0" fontId="33" fillId="17" borderId="10" xfId="0" applyFont="1" applyFill="1" applyBorder="1"/>
    <xf numFmtId="169" fontId="33" fillId="16" borderId="23" xfId="0" applyNumberFormat="1" applyFont="1" applyFill="1" applyBorder="1" applyAlignment="1">
      <alignment horizontal="right" indent="1"/>
    </xf>
    <xf numFmtId="169" fontId="33" fillId="16" borderId="25" xfId="0" applyNumberFormat="1" applyFont="1" applyFill="1" applyBorder="1" applyAlignment="1">
      <alignment horizontal="right" indent="1"/>
    </xf>
    <xf numFmtId="0" fontId="33" fillId="16" borderId="27" xfId="0" applyFont="1" applyFill="1" applyBorder="1"/>
    <xf numFmtId="0" fontId="33" fillId="15" borderId="10" xfId="0" applyFont="1" applyFill="1" applyBorder="1" applyAlignment="1">
      <alignment wrapText="1"/>
    </xf>
    <xf numFmtId="0" fontId="33" fillId="5" borderId="53" xfId="0" applyFont="1" applyFill="1" applyBorder="1"/>
    <xf numFmtId="169" fontId="33" fillId="5" borderId="40" xfId="0" applyNumberFormat="1" applyFont="1" applyFill="1" applyBorder="1" applyAlignment="1">
      <alignment horizontal="right" indent="1"/>
    </xf>
    <xf numFmtId="169" fontId="33" fillId="5" borderId="55" xfId="0" applyNumberFormat="1" applyFont="1" applyFill="1" applyBorder="1" applyAlignment="1">
      <alignment horizontal="right" indent="1"/>
    </xf>
    <xf numFmtId="0" fontId="33" fillId="5" borderId="28" xfId="0" applyFont="1" applyFill="1" applyBorder="1"/>
    <xf numFmtId="0" fontId="33" fillId="5" borderId="10" xfId="0" applyFont="1" applyFill="1" applyBorder="1" applyAlignment="1">
      <alignment wrapText="1"/>
    </xf>
    <xf numFmtId="169" fontId="33" fillId="5" borderId="23" xfId="0" applyNumberFormat="1" applyFont="1" applyFill="1" applyBorder="1" applyAlignment="1">
      <alignment horizontal="right" indent="1"/>
    </xf>
    <xf numFmtId="169" fontId="33" fillId="5" borderId="42" xfId="0" applyNumberFormat="1" applyFont="1" applyFill="1" applyBorder="1" applyAlignment="1">
      <alignment horizontal="right" indent="1"/>
    </xf>
    <xf numFmtId="169" fontId="33" fillId="5" borderId="25" xfId="0" applyNumberFormat="1" applyFont="1" applyFill="1" applyBorder="1" applyAlignment="1">
      <alignment horizontal="right" indent="1"/>
    </xf>
    <xf numFmtId="0" fontId="33" fillId="15" borderId="53" xfId="0" applyFont="1" applyFill="1" applyBorder="1"/>
    <xf numFmtId="169" fontId="33" fillId="15" borderId="40" xfId="0" applyNumberFormat="1" applyFont="1" applyFill="1" applyBorder="1" applyAlignment="1">
      <alignment horizontal="right" indent="1"/>
    </xf>
    <xf numFmtId="169" fontId="33" fillId="15" borderId="55" xfId="0" applyNumberFormat="1" applyFont="1" applyFill="1" applyBorder="1" applyAlignment="1">
      <alignment horizontal="right" indent="1"/>
    </xf>
    <xf numFmtId="169" fontId="33" fillId="15" borderId="51" xfId="0" applyNumberFormat="1" applyFont="1" applyFill="1" applyBorder="1" applyAlignment="1">
      <alignment horizontal="right" indent="1"/>
    </xf>
    <xf numFmtId="0" fontId="33" fillId="15" borderId="28" xfId="0" applyFont="1" applyFill="1" applyBorder="1"/>
    <xf numFmtId="0" fontId="54" fillId="5" borderId="0" xfId="0" applyFont="1" applyFill="1" applyAlignment="1">
      <alignment horizontal="center"/>
    </xf>
    <xf numFmtId="0" fontId="55" fillId="5" borderId="0" xfId="0" applyFont="1" applyFill="1" applyAlignment="1">
      <alignment horizontal="right"/>
    </xf>
    <xf numFmtId="169" fontId="55" fillId="5" borderId="0" xfId="0" applyNumberFormat="1" applyFont="1" applyFill="1"/>
    <xf numFmtId="169" fontId="54" fillId="5" borderId="0" xfId="0" applyNumberFormat="1" applyFont="1" applyFill="1"/>
    <xf numFmtId="169" fontId="56" fillId="5" borderId="0" xfId="0" applyNumberFormat="1" applyFont="1" applyFill="1"/>
    <xf numFmtId="169" fontId="38" fillId="5" borderId="0" xfId="0" applyNumberFormat="1" applyFont="1" applyFill="1"/>
    <xf numFmtId="0" fontId="55" fillId="14" borderId="0" xfId="0" applyFont="1" applyFill="1"/>
    <xf numFmtId="169" fontId="55" fillId="14" borderId="0" xfId="0" applyNumberFormat="1" applyFont="1" applyFill="1"/>
    <xf numFmtId="0" fontId="55" fillId="17" borderId="0" xfId="0" applyFont="1" applyFill="1"/>
    <xf numFmtId="169" fontId="55" fillId="17" borderId="0" xfId="0" applyNumberFormat="1" applyFont="1" applyFill="1"/>
    <xf numFmtId="169" fontId="57" fillId="5" borderId="0" xfId="0" applyNumberFormat="1" applyFont="1" applyFill="1"/>
    <xf numFmtId="3" fontId="35" fillId="23" borderId="0" xfId="0" applyNumberFormat="1" applyFont="1" applyFill="1"/>
    <xf numFmtId="3" fontId="44" fillId="23" borderId="0" xfId="0" applyNumberFormat="1" applyFont="1" applyFill="1"/>
    <xf numFmtId="0" fontId="38" fillId="23" borderId="0" xfId="0" applyFont="1" applyFill="1"/>
    <xf numFmtId="3" fontId="41" fillId="23" borderId="0" xfId="0" applyNumberFormat="1" applyFont="1" applyFill="1"/>
    <xf numFmtId="3" fontId="33" fillId="9" borderId="15" xfId="0" applyNumberFormat="1" applyFont="1" applyFill="1" applyBorder="1"/>
    <xf numFmtId="3" fontId="33" fillId="9" borderId="58" xfId="0" applyNumberFormat="1" applyFont="1" applyFill="1" applyBorder="1"/>
    <xf numFmtId="3" fontId="37" fillId="4" borderId="3" xfId="0" applyNumberFormat="1" applyFont="1" applyFill="1" applyBorder="1"/>
    <xf numFmtId="0" fontId="38" fillId="3" borderId="23" xfId="0" applyFont="1" applyFill="1" applyBorder="1" applyAlignment="1">
      <alignment horizontal="center"/>
    </xf>
    <xf numFmtId="3" fontId="37" fillId="9" borderId="58" xfId="0" applyNumberFormat="1" applyFont="1" applyFill="1" applyBorder="1"/>
    <xf numFmtId="3" fontId="37" fillId="0" borderId="21" xfId="0" applyNumberFormat="1" applyFont="1" applyBorder="1"/>
    <xf numFmtId="3" fontId="37" fillId="9" borderId="14" xfId="0" applyNumberFormat="1" applyFont="1" applyFill="1" applyBorder="1"/>
    <xf numFmtId="3" fontId="37" fillId="9" borderId="19" xfId="0" applyNumberFormat="1" applyFont="1" applyFill="1" applyBorder="1"/>
    <xf numFmtId="0" fontId="37" fillId="5" borderId="27" xfId="0" applyFont="1" applyFill="1" applyBorder="1" applyAlignment="1">
      <alignment horizontal="right" wrapText="1"/>
    </xf>
    <xf numFmtId="3" fontId="37" fillId="4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7" fillId="5" borderId="42" xfId="0" applyNumberFormat="1" applyFont="1" applyFill="1" applyBorder="1"/>
    <xf numFmtId="3" fontId="37" fillId="5" borderId="27" xfId="0" applyNumberFormat="1" applyFont="1" applyFill="1" applyBorder="1"/>
    <xf numFmtId="0" fontId="33" fillId="0" borderId="45" xfId="0" applyFont="1" applyBorder="1"/>
    <xf numFmtId="3" fontId="58" fillId="0" borderId="0" xfId="0" applyNumberFormat="1" applyFont="1"/>
    <xf numFmtId="0" fontId="58" fillId="0" borderId="45" xfId="0" applyFont="1" applyBorder="1"/>
    <xf numFmtId="0" fontId="58" fillId="0" borderId="45" xfId="0" applyFont="1" applyBorder="1" applyAlignment="1">
      <alignment horizontal="left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5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6" xfId="0" applyFont="1" applyBorder="1"/>
    <xf numFmtId="0" fontId="33" fillId="0" borderId="18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33" fillId="0" borderId="71" xfId="0" applyFont="1" applyBorder="1" applyAlignment="1">
      <alignment horizontal="center"/>
    </xf>
    <xf numFmtId="0" fontId="33" fillId="0" borderId="46" xfId="0" applyFont="1" applyBorder="1" applyAlignment="1">
      <alignment horizontal="center"/>
    </xf>
    <xf numFmtId="0" fontId="33" fillId="0" borderId="31" xfId="0" applyFont="1" applyBorder="1" applyAlignment="1">
      <alignment horizontal="center"/>
    </xf>
    <xf numFmtId="0" fontId="33" fillId="0" borderId="10" xfId="0" applyFont="1" applyBorder="1"/>
    <xf numFmtId="0" fontId="33" fillId="0" borderId="23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47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1" xfId="0" applyFont="1" applyBorder="1"/>
    <xf numFmtId="0" fontId="33" fillId="0" borderId="19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59" xfId="0" applyFont="1" applyBorder="1" applyAlignment="1">
      <alignment horizontal="center"/>
    </xf>
    <xf numFmtId="0" fontId="33" fillId="0" borderId="69" xfId="0" applyFont="1" applyBorder="1" applyAlignment="1">
      <alignment horizontal="center"/>
    </xf>
    <xf numFmtId="0" fontId="33" fillId="0" borderId="62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33" fillId="0" borderId="34" xfId="0" applyFont="1" applyBorder="1"/>
    <xf numFmtId="0" fontId="33" fillId="0" borderId="40" xfId="0" applyFont="1" applyBorder="1" applyAlignment="1">
      <alignment horizontal="center"/>
    </xf>
    <xf numFmtId="0" fontId="33" fillId="0" borderId="37" xfId="0" applyFont="1" applyBorder="1" applyAlignment="1">
      <alignment horizontal="center"/>
    </xf>
    <xf numFmtId="0" fontId="33" fillId="0" borderId="49" xfId="0" applyFont="1" applyBorder="1" applyAlignment="1">
      <alignment horizontal="center"/>
    </xf>
    <xf numFmtId="0" fontId="33" fillId="0" borderId="44" xfId="0" applyFont="1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35" fillId="5" borderId="18" xfId="0" applyFont="1" applyFill="1" applyBorder="1"/>
    <xf numFmtId="0" fontId="35" fillId="5" borderId="13" xfId="0" applyFont="1" applyFill="1" applyBorder="1"/>
    <xf numFmtId="0" fontId="35" fillId="5" borderId="60" xfId="0" applyFont="1" applyFill="1" applyBorder="1"/>
    <xf numFmtId="0" fontId="51" fillId="12" borderId="0" xfId="0" applyFont="1" applyFill="1"/>
    <xf numFmtId="0" fontId="37" fillId="5" borderId="40" xfId="0" applyFont="1" applyFill="1" applyBorder="1"/>
    <xf numFmtId="0" fontId="37" fillId="5" borderId="37" xfId="0" applyFont="1" applyFill="1" applyBorder="1"/>
    <xf numFmtId="0" fontId="37" fillId="5" borderId="33" xfId="0" applyFont="1" applyFill="1" applyBorder="1"/>
    <xf numFmtId="0" fontId="35" fillId="5" borderId="1" xfId="0" applyFont="1" applyFill="1" applyBorder="1"/>
    <xf numFmtId="0" fontId="35" fillId="5" borderId="5" xfId="0" applyFont="1" applyFill="1" applyBorder="1"/>
    <xf numFmtId="0" fontId="35" fillId="5" borderId="56" xfId="0" applyFont="1" applyFill="1" applyBorder="1"/>
    <xf numFmtId="0" fontId="52" fillId="12" borderId="0" xfId="0" applyFont="1" applyFill="1"/>
    <xf numFmtId="0" fontId="41" fillId="12" borderId="0" xfId="0" applyFont="1" applyFill="1"/>
    <xf numFmtId="0" fontId="41" fillId="0" borderId="3" xfId="0" applyFont="1" applyBorder="1"/>
    <xf numFmtId="0" fontId="41" fillId="0" borderId="1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50" xfId="0" applyFont="1" applyBorder="1" applyAlignment="1">
      <alignment horizontal="center"/>
    </xf>
    <xf numFmtId="0" fontId="41" fillId="0" borderId="30" xfId="0" applyFont="1" applyBorder="1" applyAlignment="1">
      <alignment horizontal="center"/>
    </xf>
    <xf numFmtId="0" fontId="41" fillId="0" borderId="6" xfId="0" applyFont="1" applyBorder="1" applyAlignment="1">
      <alignment horizontal="center"/>
    </xf>
    <xf numFmtId="3" fontId="35" fillId="2" borderId="30" xfId="5" applyNumberFormat="1" applyFont="1" applyFill="1" applyBorder="1" applyAlignment="1">
      <alignment vertical="center"/>
    </xf>
    <xf numFmtId="0" fontId="35" fillId="3" borderId="32" xfId="0" applyFont="1" applyFill="1" applyBorder="1" applyAlignment="1">
      <alignment horizontal="left" wrapText="1"/>
    </xf>
    <xf numFmtId="0" fontId="60" fillId="0" borderId="0" xfId="0" applyFont="1"/>
    <xf numFmtId="3" fontId="60" fillId="0" borderId="0" xfId="0" applyNumberFormat="1" applyFont="1"/>
    <xf numFmtId="0" fontId="60" fillId="0" borderId="24" xfId="0" applyFont="1" applyBorder="1" applyAlignment="1">
      <alignment horizontal="center" vertical="center"/>
    </xf>
    <xf numFmtId="0" fontId="60" fillId="0" borderId="72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0" fillId="4" borderId="78" xfId="0" applyFont="1" applyFill="1" applyBorder="1"/>
    <xf numFmtId="3" fontId="60" fillId="4" borderId="78" xfId="0" applyNumberFormat="1" applyFont="1" applyFill="1" applyBorder="1"/>
    <xf numFmtId="3" fontId="60" fillId="4" borderId="64" xfId="0" applyNumberFormat="1" applyFont="1" applyFill="1" applyBorder="1"/>
    <xf numFmtId="2" fontId="61" fillId="0" borderId="4" xfId="0" applyNumberFormat="1" applyFont="1" applyBorder="1"/>
    <xf numFmtId="0" fontId="60" fillId="4" borderId="38" xfId="0" applyFont="1" applyFill="1" applyBorder="1"/>
    <xf numFmtId="3" fontId="60" fillId="4" borderId="38" xfId="0" applyNumberFormat="1" applyFont="1" applyFill="1" applyBorder="1"/>
    <xf numFmtId="3" fontId="60" fillId="4" borderId="0" xfId="0" applyNumberFormat="1" applyFont="1" applyFill="1"/>
    <xf numFmtId="2" fontId="61" fillId="0" borderId="36" xfId="0" applyNumberFormat="1" applyFont="1" applyBorder="1"/>
    <xf numFmtId="3" fontId="60" fillId="4" borderId="69" xfId="0" applyNumberFormat="1" applyFont="1" applyFill="1" applyBorder="1"/>
    <xf numFmtId="3" fontId="61" fillId="0" borderId="36" xfId="0" applyNumberFormat="1" applyFont="1" applyBorder="1"/>
    <xf numFmtId="168" fontId="60" fillId="4" borderId="38" xfId="0" applyNumberFormat="1" applyFont="1" applyFill="1" applyBorder="1"/>
    <xf numFmtId="168" fontId="60" fillId="4" borderId="0" xfId="0" applyNumberFormat="1" applyFont="1" applyFill="1"/>
    <xf numFmtId="0" fontId="60" fillId="4" borderId="51" xfId="0" applyFont="1" applyFill="1" applyBorder="1"/>
    <xf numFmtId="168" fontId="60" fillId="4" borderId="51" xfId="0" applyNumberFormat="1" applyFont="1" applyFill="1" applyBorder="1"/>
    <xf numFmtId="168" fontId="60" fillId="4" borderId="45" xfId="0" applyNumberFormat="1" applyFont="1" applyFill="1" applyBorder="1"/>
    <xf numFmtId="2" fontId="61" fillId="0" borderId="53" xfId="0" applyNumberFormat="1" applyFont="1" applyBorder="1"/>
    <xf numFmtId="0" fontId="60" fillId="31" borderId="78" xfId="0" applyFont="1" applyFill="1" applyBorder="1"/>
    <xf numFmtId="3" fontId="60" fillId="31" borderId="78" xfId="0" applyNumberFormat="1" applyFont="1" applyFill="1" applyBorder="1"/>
    <xf numFmtId="3" fontId="61" fillId="0" borderId="4" xfId="0" applyNumberFormat="1" applyFont="1" applyBorder="1"/>
    <xf numFmtId="0" fontId="60" fillId="31" borderId="38" xfId="0" applyFont="1" applyFill="1" applyBorder="1"/>
    <xf numFmtId="3" fontId="60" fillId="31" borderId="38" xfId="0" applyNumberFormat="1" applyFont="1" applyFill="1" applyBorder="1"/>
    <xf numFmtId="3" fontId="60" fillId="31" borderId="0" xfId="0" applyNumberFormat="1" applyFont="1" applyFill="1"/>
    <xf numFmtId="3" fontId="60" fillId="0" borderId="36" xfId="0" applyNumberFormat="1" applyFont="1" applyBorder="1"/>
    <xf numFmtId="168" fontId="60" fillId="31" borderId="38" xfId="0" applyNumberFormat="1" applyFont="1" applyFill="1" applyBorder="1"/>
    <xf numFmtId="168" fontId="60" fillId="31" borderId="0" xfId="0" applyNumberFormat="1" applyFont="1" applyFill="1"/>
    <xf numFmtId="0" fontId="60" fillId="31" borderId="25" xfId="0" applyFont="1" applyFill="1" applyBorder="1"/>
    <xf numFmtId="168" fontId="60" fillId="31" borderId="25" xfId="0" applyNumberFormat="1" applyFont="1" applyFill="1" applyBorder="1"/>
    <xf numFmtId="168" fontId="60" fillId="31" borderId="47" xfId="0" applyNumberFormat="1" applyFont="1" applyFill="1" applyBorder="1"/>
    <xf numFmtId="3" fontId="61" fillId="0" borderId="53" xfId="0" applyNumberFormat="1" applyFont="1" applyBorder="1"/>
    <xf numFmtId="0" fontId="60" fillId="31" borderId="24" xfId="0" applyFont="1" applyFill="1" applyBorder="1"/>
    <xf numFmtId="3" fontId="60" fillId="31" borderId="24" xfId="0" applyNumberFormat="1" applyFont="1" applyFill="1" applyBorder="1"/>
    <xf numFmtId="3" fontId="61" fillId="0" borderId="62" xfId="0" applyNumberFormat="1" applyFont="1" applyBorder="1"/>
    <xf numFmtId="0" fontId="60" fillId="0" borderId="62" xfId="0" applyFont="1" applyBorder="1"/>
    <xf numFmtId="0" fontId="62" fillId="27" borderId="2" xfId="0" applyFont="1" applyFill="1" applyBorder="1" applyAlignment="1">
      <alignment horizontal="center" vertical="center" wrapText="1"/>
    </xf>
    <xf numFmtId="0" fontId="63" fillId="27" borderId="1" xfId="0" applyFont="1" applyFill="1" applyBorder="1" applyAlignment="1">
      <alignment horizontal="center" vertical="center" wrapText="1"/>
    </xf>
    <xf numFmtId="0" fontId="63" fillId="27" borderId="5" xfId="0" applyFont="1" applyFill="1" applyBorder="1"/>
    <xf numFmtId="3" fontId="63" fillId="27" borderId="5" xfId="0" applyNumberFormat="1" applyFont="1" applyFill="1" applyBorder="1"/>
    <xf numFmtId="3" fontId="63" fillId="27" borderId="56" xfId="0" applyNumberFormat="1" applyFont="1" applyFill="1" applyBorder="1"/>
    <xf numFmtId="3" fontId="61" fillId="31" borderId="36" xfId="0" applyNumberFormat="1" applyFont="1" applyFill="1" applyBorder="1" applyAlignment="1">
      <alignment horizontal="center" vertical="center"/>
    </xf>
    <xf numFmtId="0" fontId="64" fillId="29" borderId="38" xfId="0" applyFont="1" applyFill="1" applyBorder="1"/>
    <xf numFmtId="1" fontId="64" fillId="29" borderId="38" xfId="0" applyNumberFormat="1" applyFont="1" applyFill="1" applyBorder="1"/>
    <xf numFmtId="0" fontId="60" fillId="29" borderId="4" xfId="0" applyFont="1" applyFill="1" applyBorder="1"/>
    <xf numFmtId="1" fontId="64" fillId="29" borderId="0" xfId="0" applyNumberFormat="1" applyFont="1" applyFill="1"/>
    <xf numFmtId="0" fontId="60" fillId="29" borderId="36" xfId="0" applyFont="1" applyFill="1" applyBorder="1"/>
    <xf numFmtId="1" fontId="64" fillId="29" borderId="69" xfId="0" applyNumberFormat="1" applyFont="1" applyFill="1" applyBorder="1"/>
    <xf numFmtId="168" fontId="64" fillId="29" borderId="38" xfId="0" applyNumberFormat="1" applyFont="1" applyFill="1" applyBorder="1"/>
    <xf numFmtId="168" fontId="64" fillId="29" borderId="0" xfId="0" applyNumberFormat="1" applyFont="1" applyFill="1"/>
    <xf numFmtId="168" fontId="64" fillId="29" borderId="69" xfId="0" applyNumberFormat="1" applyFont="1" applyFill="1" applyBorder="1"/>
    <xf numFmtId="168" fontId="60" fillId="0" borderId="0" xfId="0" applyNumberFormat="1" applyFont="1"/>
    <xf numFmtId="168" fontId="60" fillId="29" borderId="53" xfId="0" applyNumberFormat="1" applyFont="1" applyFill="1" applyBorder="1"/>
    <xf numFmtId="0" fontId="64" fillId="7" borderId="78" xfId="0" applyFont="1" applyFill="1" applyBorder="1"/>
    <xf numFmtId="3" fontId="64" fillId="7" borderId="78" xfId="0" applyNumberFormat="1" applyFont="1" applyFill="1" applyBorder="1"/>
    <xf numFmtId="3" fontId="64" fillId="7" borderId="79" xfId="0" applyNumberFormat="1" applyFont="1" applyFill="1" applyBorder="1"/>
    <xf numFmtId="0" fontId="64" fillId="7" borderId="38" xfId="0" applyFont="1" applyFill="1" applyBorder="1"/>
    <xf numFmtId="3" fontId="64" fillId="7" borderId="38" xfId="0" applyNumberFormat="1" applyFont="1" applyFill="1" applyBorder="1"/>
    <xf numFmtId="3" fontId="64" fillId="7" borderId="39" xfId="0" applyNumberFormat="1" applyFont="1" applyFill="1" applyBorder="1"/>
    <xf numFmtId="3" fontId="64" fillId="7" borderId="61" xfId="0" applyNumberFormat="1" applyFont="1" applyFill="1" applyBorder="1"/>
    <xf numFmtId="168" fontId="64" fillId="7" borderId="38" xfId="0" applyNumberFormat="1" applyFont="1" applyFill="1" applyBorder="1"/>
    <xf numFmtId="168" fontId="64" fillId="7" borderId="39" xfId="0" applyNumberFormat="1" applyFont="1" applyFill="1" applyBorder="1"/>
    <xf numFmtId="0" fontId="64" fillId="7" borderId="25" xfId="0" applyFont="1" applyFill="1" applyBorder="1"/>
    <xf numFmtId="168" fontId="64" fillId="7" borderId="25" xfId="0" applyNumberFormat="1" applyFont="1" applyFill="1" applyBorder="1"/>
    <xf numFmtId="168" fontId="64" fillId="7" borderId="7" xfId="0" applyNumberFormat="1" applyFont="1" applyFill="1" applyBorder="1"/>
    <xf numFmtId="0" fontId="64" fillId="7" borderId="24" xfId="0" applyFont="1" applyFill="1" applyBorder="1"/>
    <xf numFmtId="0" fontId="60" fillId="0" borderId="57" xfId="0" applyFont="1" applyBorder="1"/>
    <xf numFmtId="3" fontId="60" fillId="7" borderId="42" xfId="0" applyNumberFormat="1" applyFont="1" applyFill="1" applyBorder="1"/>
    <xf numFmtId="1" fontId="60" fillId="7" borderId="23" xfId="0" applyNumberFormat="1" applyFont="1" applyFill="1" applyBorder="1"/>
    <xf numFmtId="3" fontId="61" fillId="7" borderId="21" xfId="0" applyNumberFormat="1" applyFont="1" applyFill="1" applyBorder="1"/>
    <xf numFmtId="0" fontId="61" fillId="0" borderId="0" xfId="0" applyFont="1"/>
    <xf numFmtId="0" fontId="64" fillId="7" borderId="51" xfId="0" applyFont="1" applyFill="1" applyBorder="1"/>
    <xf numFmtId="168" fontId="64" fillId="7" borderId="51" xfId="0" applyNumberFormat="1" applyFont="1" applyFill="1" applyBorder="1"/>
    <xf numFmtId="168" fontId="64" fillId="7" borderId="68" xfId="0" applyNumberFormat="1" applyFont="1" applyFill="1" applyBorder="1"/>
    <xf numFmtId="3" fontId="60" fillId="7" borderId="48" xfId="0" applyNumberFormat="1" applyFont="1" applyFill="1" applyBorder="1" applyAlignment="1">
      <alignment horizontal="left" wrapText="1"/>
    </xf>
    <xf numFmtId="174" fontId="60" fillId="7" borderId="37" xfId="0" applyNumberFormat="1" applyFont="1" applyFill="1" applyBorder="1" applyAlignment="1">
      <alignment horizontal="right" wrapText="1"/>
    </xf>
    <xf numFmtId="174" fontId="60" fillId="7" borderId="33" xfId="0" applyNumberFormat="1" applyFont="1" applyFill="1" applyBorder="1" applyAlignment="1">
      <alignment horizontal="right" wrapText="1"/>
    </xf>
    <xf numFmtId="1" fontId="60" fillId="7" borderId="21" xfId="0" applyNumberFormat="1" applyFont="1" applyFill="1" applyBorder="1"/>
    <xf numFmtId="0" fontId="64" fillId="28" borderId="78" xfId="0" applyFont="1" applyFill="1" applyBorder="1"/>
    <xf numFmtId="3" fontId="64" fillId="28" borderId="78" xfId="0" applyNumberFormat="1" applyFont="1" applyFill="1" applyBorder="1"/>
    <xf numFmtId="0" fontId="60" fillId="0" borderId="4" xfId="0" applyFont="1" applyBorder="1"/>
    <xf numFmtId="0" fontId="64" fillId="28" borderId="38" xfId="0" applyFont="1" applyFill="1" applyBorder="1"/>
    <xf numFmtId="3" fontId="64" fillId="28" borderId="38" xfId="0" applyNumberFormat="1" applyFont="1" applyFill="1" applyBorder="1"/>
    <xf numFmtId="3" fontId="64" fillId="28" borderId="39" xfId="0" applyNumberFormat="1" applyFont="1" applyFill="1" applyBorder="1"/>
    <xf numFmtId="0" fontId="60" fillId="0" borderId="36" xfId="0" applyFont="1" applyBorder="1"/>
    <xf numFmtId="3" fontId="64" fillId="28" borderId="61" xfId="0" applyNumberFormat="1" applyFont="1" applyFill="1" applyBorder="1"/>
    <xf numFmtId="168" fontId="64" fillId="28" borderId="38" xfId="0" applyNumberFormat="1" applyFont="1" applyFill="1" applyBorder="1"/>
    <xf numFmtId="168" fontId="64" fillId="28" borderId="39" xfId="0" applyNumberFormat="1" applyFont="1" applyFill="1" applyBorder="1"/>
    <xf numFmtId="0" fontId="64" fillId="28" borderId="25" xfId="0" applyFont="1" applyFill="1" applyBorder="1"/>
    <xf numFmtId="168" fontId="64" fillId="28" borderId="25" xfId="0" applyNumberFormat="1" applyFont="1" applyFill="1" applyBorder="1"/>
    <xf numFmtId="168" fontId="64" fillId="28" borderId="7" xfId="0" applyNumberFormat="1" applyFont="1" applyFill="1" applyBorder="1"/>
    <xf numFmtId="0" fontId="64" fillId="28" borderId="24" xfId="0" applyFont="1" applyFill="1" applyBorder="1"/>
    <xf numFmtId="0" fontId="64" fillId="28" borderId="41" xfId="0" applyFont="1" applyFill="1" applyBorder="1" applyAlignment="1">
      <alignment horizontal="center" vertical="center" wrapText="1"/>
    </xf>
    <xf numFmtId="3" fontId="60" fillId="18" borderId="21" xfId="0" applyNumberFormat="1" applyFont="1" applyFill="1" applyBorder="1" applyAlignment="1">
      <alignment vertical="center"/>
    </xf>
    <xf numFmtId="1" fontId="60" fillId="18" borderId="14" xfId="0" applyNumberFormat="1" applyFont="1" applyFill="1" applyBorder="1" applyAlignment="1">
      <alignment vertical="center"/>
    </xf>
    <xf numFmtId="1" fontId="60" fillId="18" borderId="43" xfId="0" applyNumberFormat="1" applyFont="1" applyFill="1" applyBorder="1" applyAlignment="1">
      <alignment vertical="center"/>
    </xf>
    <xf numFmtId="3" fontId="61" fillId="18" borderId="21" xfId="0" applyNumberFormat="1" applyFont="1" applyFill="1" applyBorder="1"/>
    <xf numFmtId="0" fontId="64" fillId="28" borderId="54" xfId="0" applyFont="1" applyFill="1" applyBorder="1" applyAlignment="1">
      <alignment horizontal="center" vertical="center" wrapText="1"/>
    </xf>
    <xf numFmtId="0" fontId="64" fillId="28" borderId="51" xfId="0" applyFont="1" applyFill="1" applyBorder="1"/>
    <xf numFmtId="168" fontId="64" fillId="28" borderId="51" xfId="0" applyNumberFormat="1" applyFont="1" applyFill="1" applyBorder="1"/>
    <xf numFmtId="168" fontId="64" fillId="28" borderId="68" xfId="0" applyNumberFormat="1" applyFont="1" applyFill="1" applyBorder="1"/>
    <xf numFmtId="0" fontId="60" fillId="0" borderId="53" xfId="0" applyFont="1" applyBorder="1"/>
    <xf numFmtId="3" fontId="61" fillId="18" borderId="48" xfId="0" applyNumberFormat="1" applyFont="1" applyFill="1" applyBorder="1" applyAlignment="1">
      <alignment vertical="center" wrapText="1"/>
    </xf>
    <xf numFmtId="4" fontId="61" fillId="18" borderId="37" xfId="0" applyNumberFormat="1" applyFont="1" applyFill="1" applyBorder="1" applyAlignment="1">
      <alignment vertical="center" wrapText="1"/>
    </xf>
    <xf numFmtId="4" fontId="61" fillId="18" borderId="33" xfId="0" applyNumberFormat="1" applyFont="1" applyFill="1" applyBorder="1" applyAlignment="1">
      <alignment vertical="center" wrapText="1"/>
    </xf>
    <xf numFmtId="4" fontId="60" fillId="18" borderId="21" xfId="0" applyNumberFormat="1" applyFont="1" applyFill="1" applyBorder="1"/>
    <xf numFmtId="0" fontId="61" fillId="0" borderId="45" xfId="0" applyFont="1" applyBorder="1" applyAlignment="1">
      <alignment vertical="center"/>
    </xf>
    <xf numFmtId="0" fontId="62" fillId="27" borderId="3" xfId="0" applyFont="1" applyFill="1" applyBorder="1" applyAlignment="1">
      <alignment horizontal="center" vertical="center" wrapText="1"/>
    </xf>
    <xf numFmtId="0" fontId="60" fillId="0" borderId="3" xfId="0" applyFont="1" applyBorder="1"/>
    <xf numFmtId="3" fontId="61" fillId="18" borderId="0" xfId="0" applyNumberFormat="1" applyFont="1" applyFill="1" applyAlignment="1">
      <alignment vertical="center" wrapText="1"/>
    </xf>
    <xf numFmtId="4" fontId="61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/>
    <xf numFmtId="0" fontId="61" fillId="0" borderId="0" xfId="0" applyFont="1" applyAlignment="1">
      <alignment vertical="center"/>
    </xf>
    <xf numFmtId="0" fontId="62" fillId="27" borderId="4" xfId="0" applyFont="1" applyFill="1" applyBorder="1" applyAlignment="1">
      <alignment horizontal="center" vertical="center" wrapText="1"/>
    </xf>
    <xf numFmtId="0" fontId="63" fillId="27" borderId="77" xfId="0" applyFont="1" applyFill="1" applyBorder="1" applyAlignment="1">
      <alignment horizontal="center" vertical="center" wrapText="1"/>
    </xf>
    <xf numFmtId="0" fontId="63" fillId="27" borderId="78" xfId="0" applyFont="1" applyFill="1" applyBorder="1"/>
    <xf numFmtId="3" fontId="63" fillId="27" borderId="78" xfId="0" applyNumberFormat="1" applyFont="1" applyFill="1" applyBorder="1"/>
    <xf numFmtId="3" fontId="60" fillId="28" borderId="78" xfId="0" applyNumberFormat="1" applyFont="1" applyFill="1" applyBorder="1"/>
    <xf numFmtId="3" fontId="60" fillId="28" borderId="38" xfId="0" applyNumberFormat="1" applyFont="1" applyFill="1" applyBorder="1"/>
    <xf numFmtId="3" fontId="60" fillId="28" borderId="39" xfId="0" applyNumberFormat="1" applyFont="1" applyFill="1" applyBorder="1"/>
    <xf numFmtId="3" fontId="60" fillId="28" borderId="61" xfId="0" applyNumberFormat="1" applyFont="1" applyFill="1" applyBorder="1"/>
    <xf numFmtId="168" fontId="60" fillId="28" borderId="38" xfId="0" applyNumberFormat="1" applyFont="1" applyFill="1" applyBorder="1"/>
    <xf numFmtId="168" fontId="60" fillId="28" borderId="39" xfId="0" applyNumberFormat="1" applyFont="1" applyFill="1" applyBorder="1"/>
    <xf numFmtId="168" fontId="60" fillId="28" borderId="51" xfId="0" applyNumberFormat="1" applyFont="1" applyFill="1" applyBorder="1"/>
    <xf numFmtId="168" fontId="60" fillId="28" borderId="28" xfId="0" applyNumberFormat="1" applyFont="1" applyFill="1" applyBorder="1"/>
    <xf numFmtId="0" fontId="64" fillId="11" borderId="78" xfId="0" applyFont="1" applyFill="1" applyBorder="1"/>
    <xf numFmtId="3" fontId="60" fillId="11" borderId="78" xfId="0" applyNumberFormat="1" applyFont="1" applyFill="1" applyBorder="1"/>
    <xf numFmtId="0" fontId="64" fillId="11" borderId="38" xfId="0" applyFont="1" applyFill="1" applyBorder="1"/>
    <xf numFmtId="3" fontId="60" fillId="11" borderId="38" xfId="0" applyNumberFormat="1" applyFont="1" applyFill="1" applyBorder="1"/>
    <xf numFmtId="3" fontId="60" fillId="11" borderId="39" xfId="0" applyNumberFormat="1" applyFont="1" applyFill="1" applyBorder="1"/>
    <xf numFmtId="3" fontId="60" fillId="11" borderId="61" xfId="0" applyNumberFormat="1" applyFont="1" applyFill="1" applyBorder="1"/>
    <xf numFmtId="168" fontId="60" fillId="11" borderId="38" xfId="0" applyNumberFormat="1" applyFont="1" applyFill="1" applyBorder="1"/>
    <xf numFmtId="168" fontId="60" fillId="11" borderId="39" xfId="0" applyNumberFormat="1" applyFont="1" applyFill="1" applyBorder="1"/>
    <xf numFmtId="0" fontId="64" fillId="11" borderId="51" xfId="0" applyFont="1" applyFill="1" applyBorder="1"/>
    <xf numFmtId="168" fontId="60" fillId="11" borderId="51" xfId="0" applyNumberFormat="1" applyFont="1" applyFill="1" applyBorder="1"/>
    <xf numFmtId="168" fontId="60" fillId="11" borderId="28" xfId="0" applyNumberFormat="1" applyFont="1" applyFill="1" applyBorder="1"/>
    <xf numFmtId="0" fontId="64" fillId="31" borderId="78" xfId="0" applyFont="1" applyFill="1" applyBorder="1"/>
    <xf numFmtId="3" fontId="60" fillId="31" borderId="67" xfId="0" applyNumberFormat="1" applyFont="1" applyFill="1" applyBorder="1"/>
    <xf numFmtId="0" fontId="64" fillId="31" borderId="38" xfId="0" applyFont="1" applyFill="1" applyBorder="1"/>
    <xf numFmtId="3" fontId="60" fillId="31" borderId="39" xfId="0" applyNumberFormat="1" applyFont="1" applyFill="1" applyBorder="1"/>
    <xf numFmtId="3" fontId="60" fillId="31" borderId="61" xfId="0" applyNumberFormat="1" applyFont="1" applyFill="1" applyBorder="1"/>
    <xf numFmtId="168" fontId="60" fillId="31" borderId="61" xfId="0" applyNumberFormat="1" applyFont="1" applyFill="1" applyBorder="1"/>
    <xf numFmtId="0" fontId="64" fillId="31" borderId="51" xfId="0" applyFont="1" applyFill="1" applyBorder="1"/>
    <xf numFmtId="168" fontId="60" fillId="31" borderId="51" xfId="0" applyNumberFormat="1" applyFont="1" applyFill="1" applyBorder="1"/>
    <xf numFmtId="168" fontId="60" fillId="31" borderId="28" xfId="0" applyNumberFormat="1" applyFont="1" applyFill="1" applyBorder="1"/>
    <xf numFmtId="0" fontId="60" fillId="30" borderId="63" xfId="0" applyFont="1" applyFill="1" applyBorder="1"/>
    <xf numFmtId="0" fontId="64" fillId="30" borderId="78" xfId="0" applyFont="1" applyFill="1" applyBorder="1"/>
    <xf numFmtId="1" fontId="60" fillId="30" borderId="78" xfId="0" applyNumberFormat="1" applyFont="1" applyFill="1" applyBorder="1"/>
    <xf numFmtId="0" fontId="60" fillId="30" borderId="59" xfId="0" applyFont="1" applyFill="1" applyBorder="1"/>
    <xf numFmtId="0" fontId="64" fillId="30" borderId="38" xfId="0" applyFont="1" applyFill="1" applyBorder="1"/>
    <xf numFmtId="1" fontId="60" fillId="30" borderId="38" xfId="0" applyNumberFormat="1" applyFont="1" applyFill="1" applyBorder="1"/>
    <xf numFmtId="1" fontId="60" fillId="30" borderId="61" xfId="0" applyNumberFormat="1" applyFont="1" applyFill="1" applyBorder="1"/>
    <xf numFmtId="0" fontId="60" fillId="30" borderId="17" xfId="0" applyFont="1" applyFill="1" applyBorder="1"/>
    <xf numFmtId="0" fontId="64" fillId="30" borderId="25" xfId="0" applyFont="1" applyFill="1" applyBorder="1"/>
    <xf numFmtId="1" fontId="60" fillId="30" borderId="25" xfId="0" applyNumberFormat="1" applyFont="1" applyFill="1" applyBorder="1"/>
    <xf numFmtId="1" fontId="60" fillId="30" borderId="27" xfId="0" applyNumberFormat="1" applyFont="1" applyFill="1" applyBorder="1"/>
    <xf numFmtId="0" fontId="60" fillId="16" borderId="73" xfId="0" applyFont="1" applyFill="1" applyBorder="1"/>
    <xf numFmtId="0" fontId="64" fillId="16" borderId="24" xfId="0" applyFont="1" applyFill="1" applyBorder="1"/>
    <xf numFmtId="1" fontId="60" fillId="16" borderId="38" xfId="0" applyNumberFormat="1" applyFont="1" applyFill="1" applyBorder="1"/>
    <xf numFmtId="0" fontId="60" fillId="16" borderId="59" xfId="0" applyFont="1" applyFill="1" applyBorder="1"/>
    <xf numFmtId="0" fontId="64" fillId="16" borderId="38" xfId="0" applyFont="1" applyFill="1" applyBorder="1"/>
    <xf numFmtId="1" fontId="60" fillId="16" borderId="61" xfId="0" applyNumberFormat="1" applyFont="1" applyFill="1" applyBorder="1"/>
    <xf numFmtId="0" fontId="60" fillId="16" borderId="17" xfId="0" applyFont="1" applyFill="1" applyBorder="1"/>
    <xf numFmtId="0" fontId="64" fillId="16" borderId="25" xfId="0" applyFont="1" applyFill="1" applyBorder="1"/>
    <xf numFmtId="1" fontId="60" fillId="16" borderId="25" xfId="0" applyNumberFormat="1" applyFont="1" applyFill="1" applyBorder="1"/>
    <xf numFmtId="1" fontId="60" fillId="16" borderId="27" xfId="0" applyNumberFormat="1" applyFont="1" applyFill="1" applyBorder="1"/>
    <xf numFmtId="0" fontId="64" fillId="33" borderId="24" xfId="0" applyFont="1" applyFill="1" applyBorder="1"/>
    <xf numFmtId="1" fontId="60" fillId="33" borderId="24" xfId="0" applyNumberFormat="1" applyFont="1" applyFill="1" applyBorder="1"/>
    <xf numFmtId="0" fontId="64" fillId="33" borderId="38" xfId="0" applyFont="1" applyFill="1" applyBorder="1"/>
    <xf numFmtId="1" fontId="60" fillId="33" borderId="38" xfId="0" applyNumberFormat="1" applyFont="1" applyFill="1" applyBorder="1"/>
    <xf numFmtId="1" fontId="60" fillId="33" borderId="39" xfId="0" applyNumberFormat="1" applyFont="1" applyFill="1" applyBorder="1"/>
    <xf numFmtId="0" fontId="64" fillId="33" borderId="51" xfId="0" applyFont="1" applyFill="1" applyBorder="1"/>
    <xf numFmtId="1" fontId="60" fillId="33" borderId="51" xfId="0" applyNumberFormat="1" applyFont="1" applyFill="1" applyBorder="1"/>
    <xf numFmtId="1" fontId="60" fillId="33" borderId="28" xfId="0" applyNumberFormat="1" applyFont="1" applyFill="1" applyBorder="1"/>
    <xf numFmtId="0" fontId="28" fillId="0" borderId="14" xfId="0" applyFont="1" applyBorder="1"/>
    <xf numFmtId="168" fontId="63" fillId="0" borderId="0" xfId="0" applyNumberFormat="1" applyFont="1"/>
    <xf numFmtId="3" fontId="61" fillId="0" borderId="0" xfId="0" applyNumberFormat="1" applyFont="1"/>
    <xf numFmtId="170" fontId="45" fillId="0" borderId="46" xfId="0" applyNumberFormat="1" applyFont="1" applyBorder="1" applyAlignment="1">
      <alignment horizontal="center"/>
    </xf>
    <xf numFmtId="9" fontId="35" fillId="0" borderId="46" xfId="8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0" fontId="35" fillId="0" borderId="43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3" fontId="33" fillId="0" borderId="34" xfId="0" applyNumberFormat="1" applyFont="1" applyBorder="1"/>
    <xf numFmtId="3" fontId="33" fillId="0" borderId="48" xfId="0" applyNumberFormat="1" applyFont="1" applyBorder="1" applyAlignment="1">
      <alignment horizontal="center"/>
    </xf>
    <xf numFmtId="3" fontId="37" fillId="0" borderId="49" xfId="0" applyNumberFormat="1" applyFont="1" applyBorder="1" applyAlignment="1">
      <alignment horizontal="center"/>
    </xf>
    <xf numFmtId="3" fontId="33" fillId="0" borderId="40" xfId="0" applyNumberFormat="1" applyFont="1" applyBorder="1" applyAlignment="1">
      <alignment horizontal="center"/>
    </xf>
    <xf numFmtId="3" fontId="37" fillId="0" borderId="33" xfId="0" applyNumberFormat="1" applyFont="1" applyBorder="1" applyAlignment="1">
      <alignment horizontal="center"/>
    </xf>
    <xf numFmtId="3" fontId="33" fillId="0" borderId="10" xfId="0" applyNumberFormat="1" applyFont="1" applyBorder="1"/>
    <xf numFmtId="3" fontId="37" fillId="0" borderId="27" xfId="0" applyNumberFormat="1" applyFont="1" applyBorder="1"/>
    <xf numFmtId="3" fontId="33" fillId="0" borderId="11" xfId="0" applyNumberFormat="1" applyFont="1" applyBorder="1"/>
    <xf numFmtId="3" fontId="33" fillId="0" borderId="12" xfId="0" applyNumberFormat="1" applyFont="1" applyBorder="1"/>
    <xf numFmtId="3" fontId="37" fillId="0" borderId="66" xfId="0" applyNumberFormat="1" applyFont="1" applyBorder="1"/>
    <xf numFmtId="0" fontId="54" fillId="0" borderId="0" xfId="0" applyFont="1"/>
    <xf numFmtId="3" fontId="54" fillId="0" borderId="0" xfId="0" applyNumberFormat="1" applyFont="1"/>
    <xf numFmtId="49" fontId="35" fillId="0" borderId="16" xfId="0" applyNumberFormat="1" applyFont="1" applyBorder="1" applyAlignment="1">
      <alignment horizontal="center"/>
    </xf>
    <xf numFmtId="0" fontId="41" fillId="3" borderId="25" xfId="0" applyFont="1" applyFill="1" applyBorder="1" applyAlignment="1">
      <alignment horizontal="center"/>
    </xf>
    <xf numFmtId="0" fontId="41" fillId="3" borderId="7" xfId="0" applyFont="1" applyFill="1" applyBorder="1" applyAlignment="1">
      <alignment wrapText="1"/>
    </xf>
    <xf numFmtId="3" fontId="44" fillId="0" borderId="11" xfId="0" applyNumberFormat="1" applyFont="1" applyBorder="1"/>
    <xf numFmtId="172" fontId="44" fillId="0" borderId="11" xfId="0" applyNumberFormat="1" applyFont="1" applyBorder="1" applyAlignment="1">
      <alignment horizontal="right"/>
    </xf>
    <xf numFmtId="3" fontId="41" fillId="0" borderId="19" xfId="0" applyNumberFormat="1" applyFont="1" applyBorder="1"/>
    <xf numFmtId="3" fontId="41" fillId="0" borderId="70" xfId="0" applyNumberFormat="1" applyFont="1" applyBorder="1"/>
    <xf numFmtId="3" fontId="41" fillId="0" borderId="14" xfId="0" applyNumberFormat="1" applyFont="1" applyBorder="1"/>
    <xf numFmtId="3" fontId="41" fillId="0" borderId="21" xfId="0" applyNumberFormat="1" applyFont="1" applyBorder="1"/>
    <xf numFmtId="3" fontId="41" fillId="6" borderId="58" xfId="0" applyNumberFormat="1" applyFont="1" applyFill="1" applyBorder="1"/>
    <xf numFmtId="3" fontId="41" fillId="0" borderId="8" xfId="0" applyNumberFormat="1" applyFont="1" applyBorder="1"/>
    <xf numFmtId="0" fontId="33" fillId="0" borderId="18" xfId="0" applyFont="1" applyBorder="1" applyAlignment="1">
      <alignment horizontal="left"/>
    </xf>
    <xf numFmtId="0" fontId="33" fillId="0" borderId="19" xfId="0" applyFont="1" applyBorder="1" applyAlignment="1">
      <alignment horizontal="left"/>
    </xf>
    <xf numFmtId="0" fontId="33" fillId="0" borderId="40" xfId="0" applyFont="1" applyBorder="1" applyAlignment="1">
      <alignment horizontal="left"/>
    </xf>
    <xf numFmtId="0" fontId="33" fillId="0" borderId="23" xfId="0" applyFont="1" applyBorder="1" applyAlignment="1">
      <alignment horizontal="left"/>
    </xf>
    <xf numFmtId="3" fontId="44" fillId="0" borderId="3" xfId="0" applyNumberFormat="1" applyFont="1" applyBorder="1"/>
    <xf numFmtId="3" fontId="44" fillId="0" borderId="22" xfId="0" applyNumberFormat="1" applyFont="1" applyBorder="1"/>
    <xf numFmtId="3" fontId="44" fillId="0" borderId="50" xfId="0" applyNumberFormat="1" applyFont="1" applyBorder="1"/>
    <xf numFmtId="3" fontId="44" fillId="0" borderId="1" xfId="0" applyNumberFormat="1" applyFont="1" applyBorder="1"/>
    <xf numFmtId="3" fontId="44" fillId="0" borderId="56" xfId="0" applyNumberFormat="1" applyFont="1" applyBorder="1"/>
    <xf numFmtId="9" fontId="37" fillId="0" borderId="0" xfId="8" applyFont="1"/>
    <xf numFmtId="0" fontId="35" fillId="0" borderId="0" xfId="5" applyFont="1"/>
    <xf numFmtId="0" fontId="37" fillId="14" borderId="40" xfId="0" applyFont="1" applyFill="1" applyBorder="1"/>
    <xf numFmtId="0" fontId="37" fillId="14" borderId="37" xfId="0" applyFont="1" applyFill="1" applyBorder="1" applyAlignment="1">
      <alignment horizontal="right" indent="5"/>
    </xf>
    <xf numFmtId="169" fontId="37" fillId="14" borderId="37" xfId="0" applyNumberFormat="1" applyFont="1" applyFill="1" applyBorder="1" applyAlignment="1">
      <alignment horizontal="right" indent="1"/>
    </xf>
    <xf numFmtId="169" fontId="37" fillId="14" borderId="51" xfId="0" applyNumberFormat="1" applyFont="1" applyFill="1" applyBorder="1" applyAlignment="1">
      <alignment horizontal="right" indent="1"/>
    </xf>
    <xf numFmtId="0" fontId="37" fillId="14" borderId="37" xfId="0" applyFont="1" applyFill="1" applyBorder="1" applyAlignment="1">
      <alignment horizontal="center"/>
    </xf>
    <xf numFmtId="0" fontId="37" fillId="14" borderId="34" xfId="0" applyFont="1" applyFill="1" applyBorder="1"/>
    <xf numFmtId="0" fontId="37" fillId="5" borderId="0" xfId="0" applyFont="1" applyFill="1"/>
    <xf numFmtId="0" fontId="37" fillId="14" borderId="23" xfId="0" applyFont="1" applyFill="1" applyBorder="1" applyAlignment="1">
      <alignment wrapText="1"/>
    </xf>
    <xf numFmtId="0" fontId="37" fillId="14" borderId="25" xfId="0" applyFont="1" applyFill="1" applyBorder="1" applyAlignment="1">
      <alignment horizontal="right" indent="5"/>
    </xf>
    <xf numFmtId="169" fontId="37" fillId="14" borderId="25" xfId="0" applyNumberFormat="1" applyFont="1" applyFill="1" applyBorder="1" applyAlignment="1">
      <alignment horizontal="right" indent="1"/>
    </xf>
    <xf numFmtId="169" fontId="37" fillId="4" borderId="25" xfId="0" applyNumberFormat="1" applyFont="1" applyFill="1" applyBorder="1" applyAlignment="1">
      <alignment horizontal="right" indent="1"/>
    </xf>
    <xf numFmtId="0" fontId="37" fillId="14" borderId="25" xfId="0" applyFont="1" applyFill="1" applyBorder="1" applyAlignment="1">
      <alignment horizontal="center"/>
    </xf>
    <xf numFmtId="0" fontId="37" fillId="14" borderId="10" xfId="0" applyFont="1" applyFill="1" applyBorder="1"/>
    <xf numFmtId="0" fontId="38" fillId="5" borderId="0" xfId="0" applyFont="1" applyFill="1"/>
    <xf numFmtId="0" fontId="53" fillId="5" borderId="0" xfId="0" applyFont="1" applyFill="1"/>
    <xf numFmtId="4" fontId="41" fillId="0" borderId="0" xfId="0" applyNumberFormat="1" applyFont="1"/>
    <xf numFmtId="0" fontId="49" fillId="0" borderId="0" xfId="0" applyFont="1"/>
    <xf numFmtId="0" fontId="49" fillId="0" borderId="0" xfId="0" applyFont="1" applyAlignment="1">
      <alignment horizontal="center"/>
    </xf>
    <xf numFmtId="167" fontId="49" fillId="0" borderId="0" xfId="8" applyNumberFormat="1" applyFont="1"/>
    <xf numFmtId="49" fontId="49" fillId="0" borderId="0" xfId="0" applyNumberFormat="1" applyFont="1"/>
    <xf numFmtId="0" fontId="33" fillId="0" borderId="25" xfId="0" applyFont="1" applyBorder="1" applyAlignment="1">
      <alignment horizontal="right"/>
    </xf>
    <xf numFmtId="0" fontId="37" fillId="0" borderId="59" xfId="0" applyFont="1" applyBorder="1"/>
    <xf numFmtId="0" fontId="33" fillId="0" borderId="59" xfId="0" applyFont="1" applyBorder="1"/>
    <xf numFmtId="0" fontId="41" fillId="0" borderId="59" xfId="0" applyFont="1" applyBorder="1"/>
    <xf numFmtId="3" fontId="33" fillId="0" borderId="33" xfId="0" applyNumberFormat="1" applyFont="1" applyBorder="1"/>
    <xf numFmtId="3" fontId="33" fillId="0" borderId="27" xfId="0" applyNumberFormat="1" applyFont="1" applyBorder="1"/>
    <xf numFmtId="0" fontId="35" fillId="0" borderId="59" xfId="0" applyFont="1" applyBorder="1"/>
    <xf numFmtId="0" fontId="33" fillId="0" borderId="59" xfId="0" applyFont="1" applyBorder="1" applyAlignment="1">
      <alignment vertical="center"/>
    </xf>
    <xf numFmtId="3" fontId="33" fillId="0" borderId="27" xfId="0" applyNumberFormat="1" applyFont="1" applyBorder="1" applyAlignment="1">
      <alignment vertical="center"/>
    </xf>
    <xf numFmtId="3" fontId="33" fillId="0" borderId="43" xfId="0" applyNumberFormat="1" applyFont="1" applyBorder="1" applyAlignment="1">
      <alignment vertical="center"/>
    </xf>
    <xf numFmtId="3" fontId="33" fillId="0" borderId="39" xfId="0" applyNumberFormat="1" applyFont="1" applyBorder="1"/>
    <xf numFmtId="0" fontId="44" fillId="0" borderId="80" xfId="0" applyFont="1" applyBorder="1"/>
    <xf numFmtId="0" fontId="44" fillId="0" borderId="80" xfId="0" applyFont="1" applyBorder="1" applyAlignment="1">
      <alignment horizontal="center"/>
    </xf>
    <xf numFmtId="3" fontId="44" fillId="0" borderId="80" xfId="0" applyNumberFormat="1" applyFont="1" applyBorder="1" applyAlignment="1">
      <alignment horizontal="center"/>
    </xf>
    <xf numFmtId="0" fontId="38" fillId="0" borderId="80" xfId="0" applyFont="1" applyBorder="1"/>
    <xf numFmtId="0" fontId="38" fillId="0" borderId="80" xfId="0" applyFont="1" applyBorder="1" applyAlignment="1">
      <alignment horizontal="center"/>
    </xf>
    <xf numFmtId="3" fontId="38" fillId="0" borderId="80" xfId="0" applyNumberFormat="1" applyFont="1" applyBorder="1"/>
    <xf numFmtId="10" fontId="38" fillId="0" borderId="80" xfId="8" applyNumberFormat="1" applyFont="1" applyBorder="1"/>
    <xf numFmtId="0" fontId="35" fillId="0" borderId="80" xfId="0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3" fontId="40" fillId="0" borderId="0" xfId="0" applyNumberFormat="1" applyFont="1"/>
    <xf numFmtId="0" fontId="40" fillId="0" borderId="0" xfId="0" applyFont="1"/>
    <xf numFmtId="0" fontId="40" fillId="0" borderId="14" xfId="0" applyFont="1" applyBorder="1" applyAlignment="1">
      <alignment horizontal="center"/>
    </xf>
    <xf numFmtId="0" fontId="40" fillId="0" borderId="14" xfId="0" applyFont="1" applyBorder="1"/>
    <xf numFmtId="3" fontId="40" fillId="0" borderId="14" xfId="0" applyNumberFormat="1" applyFont="1" applyBorder="1"/>
    <xf numFmtId="3" fontId="40" fillId="0" borderId="14" xfId="0" applyNumberFormat="1" applyFont="1" applyBorder="1" applyAlignment="1">
      <alignment horizontal="right"/>
    </xf>
    <xf numFmtId="3" fontId="65" fillId="0" borderId="14" xfId="0" applyNumberFormat="1" applyFont="1" applyBorder="1"/>
    <xf numFmtId="0" fontId="66" fillId="0" borderId="14" xfId="0" applyFont="1" applyBorder="1" applyAlignment="1">
      <alignment horizontal="center"/>
    </xf>
    <xf numFmtId="0" fontId="66" fillId="0" borderId="14" xfId="0" applyFont="1" applyBorder="1"/>
    <xf numFmtId="3" fontId="66" fillId="0" borderId="14" xfId="0" applyNumberFormat="1" applyFont="1" applyBorder="1"/>
    <xf numFmtId="3" fontId="66" fillId="0" borderId="14" xfId="0" applyNumberFormat="1" applyFont="1" applyBorder="1" applyAlignment="1">
      <alignment horizontal="right"/>
    </xf>
    <xf numFmtId="3" fontId="66" fillId="0" borderId="0" xfId="0" applyNumberFormat="1" applyFont="1" applyAlignment="1">
      <alignment horizontal="center"/>
    </xf>
    <xf numFmtId="3" fontId="66" fillId="0" borderId="0" xfId="0" applyNumberFormat="1" applyFont="1"/>
    <xf numFmtId="0" fontId="66" fillId="0" borderId="0" xfId="0" applyFont="1"/>
    <xf numFmtId="3" fontId="40" fillId="4" borderId="14" xfId="0" applyNumberFormat="1" applyFont="1" applyFill="1" applyBorder="1"/>
    <xf numFmtId="0" fontId="40" fillId="0" borderId="0" xfId="0" applyFont="1" applyAlignment="1">
      <alignment horizontal="center"/>
    </xf>
    <xf numFmtId="0" fontId="67" fillId="0" borderId="14" xfId="0" applyFont="1" applyBorder="1" applyAlignment="1">
      <alignment horizontal="center"/>
    </xf>
    <xf numFmtId="3" fontId="66" fillId="4" borderId="0" xfId="0" applyNumberFormat="1" applyFont="1" applyFill="1"/>
    <xf numFmtId="3" fontId="67" fillId="0" borderId="14" xfId="0" applyNumberFormat="1" applyFont="1" applyBorder="1" applyAlignment="1">
      <alignment horizontal="center"/>
    </xf>
    <xf numFmtId="3" fontId="40" fillId="0" borderId="14" xfId="0" applyNumberFormat="1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4" xfId="0" applyFont="1" applyBorder="1"/>
    <xf numFmtId="3" fontId="53" fillId="0" borderId="14" xfId="0" applyNumberFormat="1" applyFont="1" applyBorder="1"/>
    <xf numFmtId="3" fontId="53" fillId="0" borderId="14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center"/>
    </xf>
    <xf numFmtId="3" fontId="53" fillId="4" borderId="0" xfId="0" applyNumberFormat="1" applyFont="1" applyFill="1"/>
    <xf numFmtId="0" fontId="53" fillId="0" borderId="0" xfId="0" applyFont="1"/>
    <xf numFmtId="9" fontId="53" fillId="0" borderId="0" xfId="0" applyNumberFormat="1" applyFont="1" applyAlignment="1">
      <alignment horizontal="center"/>
    </xf>
    <xf numFmtId="3" fontId="40" fillId="5" borderId="0" xfId="0" applyNumberFormat="1" applyFont="1" applyFill="1"/>
    <xf numFmtId="3" fontId="53" fillId="0" borderId="0" xfId="0" applyNumberFormat="1" applyFont="1"/>
    <xf numFmtId="3" fontId="68" fillId="0" borderId="14" xfId="0" applyNumberFormat="1" applyFont="1" applyBorder="1"/>
    <xf numFmtId="0" fontId="69" fillId="0" borderId="14" xfId="0" applyFont="1" applyBorder="1" applyAlignment="1">
      <alignment horizontal="center"/>
    </xf>
    <xf numFmtId="0" fontId="69" fillId="0" borderId="14" xfId="0" applyFont="1" applyBorder="1"/>
    <xf numFmtId="3" fontId="70" fillId="0" borderId="14" xfId="0" applyNumberFormat="1" applyFont="1" applyBorder="1"/>
    <xf numFmtId="3" fontId="69" fillId="0" borderId="14" xfId="0" applyNumberFormat="1" applyFont="1" applyBorder="1"/>
    <xf numFmtId="3" fontId="69" fillId="0" borderId="14" xfId="0" applyNumberFormat="1" applyFont="1" applyBorder="1" applyAlignment="1">
      <alignment horizontal="right"/>
    </xf>
    <xf numFmtId="3" fontId="69" fillId="0" borderId="0" xfId="0" applyNumberFormat="1" applyFont="1" applyAlignment="1">
      <alignment horizontal="center"/>
    </xf>
    <xf numFmtId="3" fontId="69" fillId="5" borderId="0" xfId="0" applyNumberFormat="1" applyFont="1" applyFill="1"/>
    <xf numFmtId="0" fontId="69" fillId="0" borderId="0" xfId="0" applyFont="1"/>
    <xf numFmtId="3" fontId="69" fillId="0" borderId="0" xfId="0" applyNumberFormat="1" applyFont="1"/>
    <xf numFmtId="0" fontId="53" fillId="0" borderId="0" xfId="0" applyFont="1" applyAlignment="1">
      <alignment horizontal="center"/>
    </xf>
    <xf numFmtId="9" fontId="53" fillId="0" borderId="0" xfId="8" applyFont="1"/>
    <xf numFmtId="0" fontId="69" fillId="5" borderId="0" xfId="3" applyFont="1" applyFill="1"/>
    <xf numFmtId="164" fontId="69" fillId="5" borderId="0" xfId="1" applyFont="1" applyFill="1"/>
    <xf numFmtId="173" fontId="71" fillId="5" borderId="0" xfId="1" applyNumberFormat="1" applyFont="1" applyFill="1"/>
    <xf numFmtId="0" fontId="71" fillId="5" borderId="0" xfId="3" applyFont="1" applyFill="1"/>
    <xf numFmtId="3" fontId="71" fillId="5" borderId="0" xfId="3" applyNumberFormat="1" applyFont="1" applyFill="1"/>
    <xf numFmtId="0" fontId="53" fillId="5" borderId="0" xfId="3" applyFont="1" applyFill="1"/>
    <xf numFmtId="0" fontId="40" fillId="23" borderId="0" xfId="3" applyFont="1" applyFill="1"/>
    <xf numFmtId="3" fontId="53" fillId="5" borderId="0" xfId="3" applyNumberFormat="1" applyFont="1" applyFill="1"/>
    <xf numFmtId="0" fontId="53" fillId="5" borderId="0" xfId="3" applyFont="1" applyFill="1" applyAlignment="1">
      <alignment horizontal="left"/>
    </xf>
    <xf numFmtId="3" fontId="69" fillId="5" borderId="0" xfId="3" applyNumberFormat="1" applyFont="1" applyFill="1"/>
    <xf numFmtId="0" fontId="53" fillId="23" borderId="0" xfId="3" applyFont="1" applyFill="1"/>
    <xf numFmtId="0" fontId="69" fillId="23" borderId="0" xfId="3" applyFont="1" applyFill="1"/>
    <xf numFmtId="3" fontId="40" fillId="5" borderId="0" xfId="3" applyNumberFormat="1" applyFont="1" applyFill="1"/>
    <xf numFmtId="3" fontId="40" fillId="23" borderId="0" xfId="3" applyNumberFormat="1" applyFont="1" applyFill="1"/>
    <xf numFmtId="0" fontId="40" fillId="5" borderId="0" xfId="0" applyFont="1" applyFill="1"/>
    <xf numFmtId="3" fontId="40" fillId="0" borderId="11" xfId="0" applyNumberFormat="1" applyFont="1" applyBorder="1"/>
    <xf numFmtId="3" fontId="68" fillId="22" borderId="0" xfId="0" applyNumberFormat="1" applyFont="1" applyFill="1" applyAlignment="1">
      <alignment horizontal="left" wrapText="1"/>
    </xf>
    <xf numFmtId="4" fontId="78" fillId="22" borderId="0" xfId="0" applyNumberFormat="1" applyFont="1" applyFill="1"/>
    <xf numFmtId="3" fontId="78" fillId="22" borderId="0" xfId="0" applyNumberFormat="1" applyFont="1" applyFill="1"/>
    <xf numFmtId="3" fontId="79" fillId="22" borderId="0" xfId="0" applyNumberFormat="1" applyFont="1" applyFill="1"/>
    <xf numFmtId="3" fontId="68" fillId="22" borderId="0" xfId="0" applyNumberFormat="1" applyFont="1" applyFill="1" applyAlignment="1">
      <alignment wrapText="1"/>
    </xf>
    <xf numFmtId="165" fontId="68" fillId="22" borderId="0" xfId="0" applyNumberFormat="1" applyFont="1" applyFill="1"/>
    <xf numFmtId="0" fontId="66" fillId="5" borderId="0" xfId="0" applyFont="1" applyFill="1"/>
    <xf numFmtId="3" fontId="53" fillId="0" borderId="43" xfId="0" applyNumberFormat="1" applyFont="1" applyBorder="1"/>
    <xf numFmtId="3" fontId="40" fillId="0" borderId="43" xfId="0" applyNumberFormat="1" applyFont="1" applyBorder="1"/>
    <xf numFmtId="3" fontId="40" fillId="0" borderId="24" xfId="0" applyNumberFormat="1" applyFont="1" applyBorder="1"/>
    <xf numFmtId="3" fontId="40" fillId="0" borderId="66" xfId="0" applyNumberFormat="1" applyFont="1" applyBorder="1"/>
    <xf numFmtId="0" fontId="84" fillId="22" borderId="0" xfId="5" applyFont="1" applyFill="1"/>
    <xf numFmtId="0" fontId="84" fillId="22" borderId="0" xfId="0" applyFont="1" applyFill="1"/>
    <xf numFmtId="0" fontId="83" fillId="22" borderId="0" xfId="0" applyFont="1" applyFill="1"/>
    <xf numFmtId="0" fontId="68" fillId="22" borderId="0" xfId="0" applyFont="1" applyFill="1"/>
    <xf numFmtId="3" fontId="68" fillId="22" borderId="0" xfId="0" applyNumberFormat="1" applyFont="1" applyFill="1"/>
    <xf numFmtId="0" fontId="40" fillId="23" borderId="0" xfId="0" applyFont="1" applyFill="1"/>
    <xf numFmtId="3" fontId="40" fillId="23" borderId="0" xfId="0" applyNumberFormat="1" applyFont="1" applyFill="1"/>
    <xf numFmtId="0" fontId="72" fillId="23" borderId="0" xfId="0" applyFont="1" applyFill="1"/>
    <xf numFmtId="0" fontId="72" fillId="23" borderId="0" xfId="0" applyFont="1" applyFill="1" applyAlignment="1">
      <alignment horizontal="center"/>
    </xf>
    <xf numFmtId="3" fontId="85" fillId="23" borderId="0" xfId="0" applyNumberFormat="1" applyFont="1" applyFill="1" applyAlignment="1">
      <alignment horizontal="center"/>
    </xf>
    <xf numFmtId="3" fontId="72" fillId="23" borderId="0" xfId="0" applyNumberFormat="1" applyFont="1" applyFill="1" applyAlignment="1">
      <alignment horizontal="center"/>
    </xf>
    <xf numFmtId="3" fontId="72" fillId="23" borderId="0" xfId="0" applyNumberFormat="1" applyFont="1" applyFill="1"/>
    <xf numFmtId="0" fontId="71" fillId="23" borderId="0" xfId="0" applyFont="1" applyFill="1"/>
    <xf numFmtId="3" fontId="71" fillId="23" borderId="0" xfId="0" applyNumberFormat="1" applyFont="1" applyFill="1"/>
    <xf numFmtId="0" fontId="67" fillId="0" borderId="18" xfId="0" applyFont="1" applyBorder="1"/>
    <xf numFmtId="0" fontId="67" fillId="0" borderId="0" xfId="0" applyFont="1"/>
    <xf numFmtId="3" fontId="40" fillId="0" borderId="19" xfId="0" applyNumberFormat="1" applyFont="1" applyBorder="1"/>
    <xf numFmtId="3" fontId="40" fillId="0" borderId="21" xfId="0" applyNumberFormat="1" applyFont="1" applyBorder="1"/>
    <xf numFmtId="3" fontId="40" fillId="4" borderId="43" xfId="0" applyNumberFormat="1" applyFont="1" applyFill="1" applyBorder="1"/>
    <xf numFmtId="3" fontId="53" fillId="0" borderId="19" xfId="0" applyNumberFormat="1" applyFont="1" applyBorder="1"/>
    <xf numFmtId="3" fontId="53" fillId="0" borderId="21" xfId="0" applyNumberFormat="1" applyFont="1" applyBorder="1"/>
    <xf numFmtId="3" fontId="53" fillId="4" borderId="43" xfId="0" applyNumberFormat="1" applyFont="1" applyFill="1" applyBorder="1"/>
    <xf numFmtId="3" fontId="53" fillId="23" borderId="0" xfId="0" applyNumberFormat="1" applyFont="1" applyFill="1"/>
    <xf numFmtId="3" fontId="88" fillId="0" borderId="19" xfId="0" applyNumberFormat="1" applyFont="1" applyBorder="1"/>
    <xf numFmtId="3" fontId="88" fillId="0" borderId="21" xfId="0" applyNumberFormat="1" applyFont="1" applyBorder="1"/>
    <xf numFmtId="3" fontId="88" fillId="0" borderId="14" xfId="0" applyNumberFormat="1" applyFont="1" applyBorder="1"/>
    <xf numFmtId="3" fontId="88" fillId="0" borderId="43" xfId="0" applyNumberFormat="1" applyFont="1" applyBorder="1"/>
    <xf numFmtId="3" fontId="88" fillId="4" borderId="43" xfId="0" applyNumberFormat="1" applyFont="1" applyFill="1" applyBorder="1"/>
    <xf numFmtId="3" fontId="88" fillId="23" borderId="0" xfId="0" applyNumberFormat="1" applyFont="1" applyFill="1"/>
    <xf numFmtId="3" fontId="81" fillId="0" borderId="29" xfId="0" applyNumberFormat="1" applyFont="1" applyBorder="1"/>
    <xf numFmtId="3" fontId="81" fillId="0" borderId="75" xfId="0" applyNumberFormat="1" applyFont="1" applyBorder="1"/>
    <xf numFmtId="3" fontId="81" fillId="0" borderId="24" xfId="0" applyNumberFormat="1" applyFont="1" applyBorder="1"/>
    <xf numFmtId="3" fontId="81" fillId="0" borderId="66" xfId="0" applyNumberFormat="1" applyFont="1" applyBorder="1"/>
    <xf numFmtId="0" fontId="81" fillId="5" borderId="0" xfId="0" applyFont="1" applyFill="1"/>
    <xf numFmtId="3" fontId="81" fillId="23" borderId="0" xfId="0" applyNumberFormat="1" applyFont="1" applyFill="1"/>
    <xf numFmtId="3" fontId="69" fillId="0" borderId="29" xfId="0" applyNumberFormat="1" applyFont="1" applyBorder="1"/>
    <xf numFmtId="3" fontId="69" fillId="0" borderId="75" xfId="0" applyNumberFormat="1" applyFont="1" applyBorder="1"/>
    <xf numFmtId="3" fontId="69" fillId="0" borderId="24" xfId="0" applyNumberFormat="1" applyFont="1" applyBorder="1"/>
    <xf numFmtId="3" fontId="69" fillId="0" borderId="66" xfId="0" applyNumberFormat="1" applyFont="1" applyBorder="1"/>
    <xf numFmtId="0" fontId="69" fillId="5" borderId="0" xfId="0" applyFont="1" applyFill="1"/>
    <xf numFmtId="3" fontId="69" fillId="23" borderId="0" xfId="0" applyNumberFormat="1" applyFont="1" applyFill="1"/>
    <xf numFmtId="3" fontId="67" fillId="18" borderId="40" xfId="0" applyNumberFormat="1" applyFont="1" applyFill="1" applyBorder="1"/>
    <xf numFmtId="3" fontId="67" fillId="18" borderId="48" xfId="0" applyNumberFormat="1" applyFont="1" applyFill="1" applyBorder="1"/>
    <xf numFmtId="3" fontId="67" fillId="18" borderId="37" xfId="0" applyNumberFormat="1" applyFont="1" applyFill="1" applyBorder="1"/>
    <xf numFmtId="3" fontId="67" fillId="18" borderId="33" xfId="0" applyNumberFormat="1" applyFont="1" applyFill="1" applyBorder="1"/>
    <xf numFmtId="3" fontId="67" fillId="23" borderId="0" xfId="0" applyNumberFormat="1" applyFont="1" applyFill="1"/>
    <xf numFmtId="3" fontId="40" fillId="5" borderId="69" xfId="0" applyNumberFormat="1" applyFont="1" applyFill="1" applyBorder="1"/>
    <xf numFmtId="3" fontId="40" fillId="0" borderId="18" xfId="0" applyNumberFormat="1" applyFont="1" applyBorder="1"/>
    <xf numFmtId="3" fontId="40" fillId="0" borderId="20" xfId="0" applyNumberFormat="1" applyFont="1" applyBorder="1"/>
    <xf numFmtId="3" fontId="40" fillId="0" borderId="13" xfId="0" applyNumberFormat="1" applyFont="1" applyBorder="1"/>
    <xf numFmtId="3" fontId="40" fillId="0" borderId="60" xfId="0" applyNumberFormat="1" applyFont="1" applyBorder="1"/>
    <xf numFmtId="3" fontId="40" fillId="4" borderId="60" xfId="0" applyNumberFormat="1" applyFont="1" applyFill="1" applyBorder="1"/>
    <xf numFmtId="3" fontId="40" fillId="0" borderId="23" xfId="0" applyNumberFormat="1" applyFont="1" applyBorder="1"/>
    <xf numFmtId="3" fontId="40" fillId="0" borderId="42" xfId="0" applyNumberFormat="1" applyFont="1" applyBorder="1"/>
    <xf numFmtId="3" fontId="40" fillId="0" borderId="75" xfId="0" applyNumberFormat="1" applyFont="1" applyBorder="1"/>
    <xf numFmtId="3" fontId="40" fillId="4" borderId="66" xfId="0" applyNumberFormat="1" applyFont="1" applyFill="1" applyBorder="1"/>
    <xf numFmtId="3" fontId="40" fillId="0" borderId="41" xfId="0" applyNumberFormat="1" applyFont="1" applyBorder="1"/>
    <xf numFmtId="3" fontId="40" fillId="0" borderId="57" xfId="0" applyNumberFormat="1" applyFont="1" applyBorder="1"/>
    <xf numFmtId="3" fontId="67" fillId="19" borderId="40" xfId="0" applyNumberFormat="1" applyFont="1" applyFill="1" applyBorder="1"/>
    <xf numFmtId="3" fontId="67" fillId="19" borderId="48" xfId="0" applyNumberFormat="1" applyFont="1" applyFill="1" applyBorder="1"/>
    <xf numFmtId="3" fontId="67" fillId="19" borderId="37" xfId="0" applyNumberFormat="1" applyFont="1" applyFill="1" applyBorder="1"/>
    <xf numFmtId="3" fontId="67" fillId="19" borderId="33" xfId="0" applyNumberFormat="1" applyFont="1" applyFill="1" applyBorder="1"/>
    <xf numFmtId="0" fontId="67" fillId="0" borderId="20" xfId="0" applyFont="1" applyBorder="1"/>
    <xf numFmtId="3" fontId="76" fillId="0" borderId="13" xfId="0" applyNumberFormat="1" applyFont="1" applyBorder="1"/>
    <xf numFmtId="3" fontId="76" fillId="0" borderId="60" xfId="0" applyNumberFormat="1" applyFont="1" applyBorder="1"/>
    <xf numFmtId="3" fontId="76" fillId="0" borderId="20" xfId="0" applyNumberFormat="1" applyFont="1" applyBorder="1"/>
    <xf numFmtId="0" fontId="67" fillId="23" borderId="0" xfId="0" applyFont="1" applyFill="1"/>
    <xf numFmtId="0" fontId="40" fillId="17" borderId="40" xfId="0" applyFont="1" applyFill="1" applyBorder="1"/>
    <xf numFmtId="0" fontId="40" fillId="17" borderId="48" xfId="0" applyFont="1" applyFill="1" applyBorder="1"/>
    <xf numFmtId="9" fontId="89" fillId="17" borderId="37" xfId="8" applyFont="1" applyFill="1" applyBorder="1"/>
    <xf numFmtId="9" fontId="89" fillId="17" borderId="33" xfId="8" applyFont="1" applyFill="1" applyBorder="1"/>
    <xf numFmtId="9" fontId="89" fillId="17" borderId="48" xfId="8" applyFont="1" applyFill="1" applyBorder="1"/>
    <xf numFmtId="9" fontId="89" fillId="17" borderId="54" xfId="8" applyFont="1" applyFill="1" applyBorder="1"/>
    <xf numFmtId="9" fontId="89" fillId="17" borderId="55" xfId="8" applyFont="1" applyFill="1" applyBorder="1"/>
    <xf numFmtId="9" fontId="89" fillId="17" borderId="51" xfId="8" applyFont="1" applyFill="1" applyBorder="1"/>
    <xf numFmtId="9" fontId="89" fillId="17" borderId="28" xfId="8" applyFont="1" applyFill="1" applyBorder="1"/>
    <xf numFmtId="9" fontId="89" fillId="17" borderId="0" xfId="8" applyFont="1" applyFill="1" applyBorder="1"/>
    <xf numFmtId="0" fontId="67" fillId="0" borderId="3" xfId="0" applyFont="1" applyBorder="1"/>
    <xf numFmtId="3" fontId="67" fillId="5" borderId="0" xfId="0" applyNumberFormat="1" applyFont="1" applyFill="1"/>
    <xf numFmtId="0" fontId="67" fillId="5" borderId="0" xfId="0" applyFont="1" applyFill="1"/>
    <xf numFmtId="0" fontId="40" fillId="0" borderId="18" xfId="0" applyFont="1" applyBorder="1"/>
    <xf numFmtId="0" fontId="40" fillId="0" borderId="20" xfId="0" applyFont="1" applyBorder="1"/>
    <xf numFmtId="3" fontId="40" fillId="0" borderId="31" xfId="0" applyNumberFormat="1" applyFont="1" applyBorder="1"/>
    <xf numFmtId="0" fontId="74" fillId="20" borderId="40" xfId="0" applyFont="1" applyFill="1" applyBorder="1"/>
    <xf numFmtId="9" fontId="86" fillId="20" borderId="37" xfId="8" applyFont="1" applyFill="1" applyBorder="1"/>
    <xf numFmtId="9" fontId="86" fillId="20" borderId="33" xfId="8" applyFont="1" applyFill="1" applyBorder="1"/>
    <xf numFmtId="9" fontId="86" fillId="20" borderId="48" xfId="8" applyFont="1" applyFill="1" applyBorder="1"/>
    <xf numFmtId="9" fontId="86" fillId="20" borderId="40" xfId="8" applyFont="1" applyFill="1" applyBorder="1"/>
    <xf numFmtId="9" fontId="86" fillId="20" borderId="0" xfId="8" applyFont="1" applyFill="1" applyBorder="1"/>
    <xf numFmtId="0" fontId="74" fillId="23" borderId="0" xfId="0" applyFont="1" applyFill="1"/>
    <xf numFmtId="3" fontId="66" fillId="5" borderId="3" xfId="0" applyNumberFormat="1" applyFont="1" applyFill="1" applyBorder="1" applyAlignment="1">
      <alignment horizontal="center"/>
    </xf>
    <xf numFmtId="0" fontId="66" fillId="5" borderId="2" xfId="0" applyFont="1" applyFill="1" applyBorder="1" applyAlignment="1">
      <alignment horizontal="center"/>
    </xf>
    <xf numFmtId="0" fontId="66" fillId="5" borderId="2" xfId="0" applyFont="1" applyFill="1" applyBorder="1"/>
    <xf numFmtId="0" fontId="66" fillId="5" borderId="30" xfId="0" applyFont="1" applyFill="1" applyBorder="1"/>
    <xf numFmtId="0" fontId="66" fillId="5" borderId="6" xfId="0" applyFont="1" applyFill="1" applyBorder="1"/>
    <xf numFmtId="0" fontId="66" fillId="23" borderId="0" xfId="0" applyFont="1" applyFill="1"/>
    <xf numFmtId="0" fontId="40" fillId="5" borderId="3" xfId="0" applyFont="1" applyFill="1" applyBorder="1"/>
    <xf numFmtId="0" fontId="40" fillId="5" borderId="2" xfId="0" applyFont="1" applyFill="1" applyBorder="1"/>
    <xf numFmtId="3" fontId="40" fillId="5" borderId="1" xfId="0" applyNumberFormat="1" applyFont="1" applyFill="1" applyBorder="1" applyAlignment="1">
      <alignment horizontal="center"/>
    </xf>
    <xf numFmtId="3" fontId="40" fillId="5" borderId="5" xfId="0" applyNumberFormat="1" applyFont="1" applyFill="1" applyBorder="1" applyAlignment="1">
      <alignment horizontal="center"/>
    </xf>
    <xf numFmtId="0" fontId="40" fillId="5" borderId="5" xfId="0" applyFont="1" applyFill="1" applyBorder="1" applyAlignment="1">
      <alignment horizontal="center"/>
    </xf>
    <xf numFmtId="0" fontId="40" fillId="5" borderId="56" xfId="0" applyFont="1" applyFill="1" applyBorder="1" applyAlignment="1">
      <alignment horizontal="center"/>
    </xf>
    <xf numFmtId="3" fontId="40" fillId="5" borderId="2" xfId="0" applyNumberFormat="1" applyFont="1" applyFill="1" applyBorder="1" applyAlignment="1">
      <alignment horizontal="center"/>
    </xf>
    <xf numFmtId="0" fontId="40" fillId="5" borderId="0" xfId="0" applyFont="1" applyFill="1" applyAlignment="1">
      <alignment horizontal="center"/>
    </xf>
    <xf numFmtId="0" fontId="77" fillId="0" borderId="2" xfId="0" applyFont="1" applyBorder="1"/>
    <xf numFmtId="164" fontId="80" fillId="0" borderId="53" xfId="1" applyFont="1" applyBorder="1"/>
    <xf numFmtId="164" fontId="80" fillId="0" borderId="65" xfId="1" applyFont="1" applyBorder="1"/>
    <xf numFmtId="164" fontId="80" fillId="0" borderId="0" xfId="1" applyFont="1" applyBorder="1"/>
    <xf numFmtId="0" fontId="75" fillId="0" borderId="16" xfId="0" applyFont="1" applyBorder="1" applyAlignment="1">
      <alignment horizontal="right"/>
    </xf>
    <xf numFmtId="3" fontId="82" fillId="0" borderId="10" xfId="0" applyNumberFormat="1" applyFont="1" applyBorder="1"/>
    <xf numFmtId="3" fontId="82" fillId="0" borderId="17" xfId="0" applyNumberFormat="1" applyFont="1" applyBorder="1"/>
    <xf numFmtId="3" fontId="40" fillId="5" borderId="25" xfId="0" applyNumberFormat="1" applyFont="1" applyFill="1" applyBorder="1"/>
    <xf numFmtId="3" fontId="40" fillId="5" borderId="27" xfId="0" applyNumberFormat="1" applyFont="1" applyFill="1" applyBorder="1"/>
    <xf numFmtId="3" fontId="40" fillId="5" borderId="23" xfId="0" applyNumberFormat="1" applyFont="1" applyFill="1" applyBorder="1"/>
    <xf numFmtId="3" fontId="40" fillId="5" borderId="17" xfId="0" applyNumberFormat="1" applyFont="1" applyFill="1" applyBorder="1"/>
    <xf numFmtId="0" fontId="75" fillId="0" borderId="34" xfId="0" applyFont="1" applyBorder="1" applyAlignment="1">
      <alignment horizontal="right"/>
    </xf>
    <xf numFmtId="3" fontId="75" fillId="0" borderId="34" xfId="0" applyNumberFormat="1" applyFont="1" applyBorder="1"/>
    <xf numFmtId="3" fontId="75" fillId="0" borderId="32" xfId="0" applyNumberFormat="1" applyFont="1" applyBorder="1"/>
    <xf numFmtId="3" fontId="40" fillId="5" borderId="40" xfId="0" applyNumberFormat="1" applyFont="1" applyFill="1" applyBorder="1"/>
    <xf numFmtId="3" fontId="40" fillId="5" borderId="37" xfId="0" applyNumberFormat="1" applyFont="1" applyFill="1" applyBorder="1"/>
    <xf numFmtId="3" fontId="40" fillId="5" borderId="33" xfId="0" applyNumberFormat="1" applyFont="1" applyFill="1" applyBorder="1"/>
    <xf numFmtId="3" fontId="40" fillId="5" borderId="32" xfId="0" applyNumberFormat="1" applyFont="1" applyFill="1" applyBorder="1"/>
    <xf numFmtId="3" fontId="53" fillId="0" borderId="24" xfId="0" applyNumberFormat="1" applyFont="1" applyBorder="1"/>
    <xf numFmtId="3" fontId="33" fillId="0" borderId="66" xfId="0" applyNumberFormat="1" applyFont="1" applyBorder="1"/>
    <xf numFmtId="0" fontId="33" fillId="0" borderId="14" xfId="0" applyFont="1" applyBorder="1" applyAlignment="1">
      <alignment horizontal="right"/>
    </xf>
    <xf numFmtId="0" fontId="33" fillId="0" borderId="14" xfId="0" applyFont="1" applyBorder="1"/>
    <xf numFmtId="0" fontId="33" fillId="0" borderId="25" xfId="0" applyFont="1" applyBorder="1" applyAlignment="1">
      <alignment horizontal="right" vertical="center"/>
    </xf>
    <xf numFmtId="0" fontId="33" fillId="0" borderId="14" xfId="0" applyFont="1" applyBorder="1" applyAlignment="1">
      <alignment horizontal="right" vertical="center"/>
    </xf>
    <xf numFmtId="0" fontId="37" fillId="0" borderId="14" xfId="0" applyFont="1" applyBorder="1" applyAlignment="1">
      <alignment horizontal="right"/>
    </xf>
    <xf numFmtId="0" fontId="33" fillId="0" borderId="69" xfId="0" applyFont="1" applyBorder="1" applyAlignment="1">
      <alignment horizontal="right"/>
    </xf>
    <xf numFmtId="0" fontId="33" fillId="0" borderId="90" xfId="0" applyFont="1" applyBorder="1" applyAlignment="1">
      <alignment horizontal="right"/>
    </xf>
    <xf numFmtId="0" fontId="33" fillId="0" borderId="37" xfId="0" applyFont="1" applyBorder="1"/>
    <xf numFmtId="0" fontId="33" fillId="0" borderId="24" xfId="0" applyFont="1" applyBorder="1" applyAlignment="1">
      <alignment horizontal="right"/>
    </xf>
    <xf numFmtId="0" fontId="37" fillId="0" borderId="90" xfId="0" applyFont="1" applyBorder="1" applyAlignment="1">
      <alignment horizontal="right"/>
    </xf>
    <xf numFmtId="3" fontId="37" fillId="21" borderId="58" xfId="0" applyNumberFormat="1" applyFont="1" applyFill="1" applyBorder="1"/>
    <xf numFmtId="4" fontId="37" fillId="0" borderId="0" xfId="0" applyNumberFormat="1" applyFont="1"/>
    <xf numFmtId="3" fontId="35" fillId="5" borderId="47" xfId="0" applyNumberFormat="1" applyFont="1" applyFill="1" applyBorder="1"/>
    <xf numFmtId="3" fontId="35" fillId="5" borderId="25" xfId="0" applyNumberFormat="1" applyFont="1" applyFill="1" applyBorder="1"/>
    <xf numFmtId="3" fontId="35" fillId="5" borderId="27" xfId="0" applyNumberFormat="1" applyFont="1" applyFill="1" applyBorder="1"/>
    <xf numFmtId="3" fontId="38" fillId="5" borderId="47" xfId="0" applyNumberFormat="1" applyFont="1" applyFill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5" fillId="5" borderId="62" xfId="0" applyNumberFormat="1" applyFont="1" applyFill="1" applyBorder="1"/>
    <xf numFmtId="3" fontId="35" fillId="5" borderId="14" xfId="0" applyNumberFormat="1" applyFont="1" applyFill="1" applyBorder="1"/>
    <xf numFmtId="3" fontId="35" fillId="5" borderId="43" xfId="0" applyNumberFormat="1" applyFont="1" applyFill="1" applyBorder="1"/>
    <xf numFmtId="3" fontId="38" fillId="5" borderId="62" xfId="0" applyNumberFormat="1" applyFont="1" applyFill="1" applyBorder="1"/>
    <xf numFmtId="3" fontId="38" fillId="5" borderId="14" xfId="0" applyNumberFormat="1" applyFont="1" applyFill="1" applyBorder="1"/>
    <xf numFmtId="3" fontId="38" fillId="5" borderId="43" xfId="0" applyNumberFormat="1" applyFont="1" applyFill="1" applyBorder="1"/>
    <xf numFmtId="3" fontId="35" fillId="0" borderId="69" xfId="0" applyNumberFormat="1" applyFont="1" applyBorder="1"/>
    <xf numFmtId="3" fontId="35" fillId="0" borderId="46" xfId="0" applyNumberFormat="1" applyFont="1" applyBorder="1"/>
    <xf numFmtId="3" fontId="35" fillId="0" borderId="60" xfId="0" applyNumberFormat="1" applyFont="1" applyBorder="1"/>
    <xf numFmtId="3" fontId="35" fillId="0" borderId="62" xfId="0" applyNumberFormat="1" applyFont="1" applyBorder="1"/>
    <xf numFmtId="3" fontId="35" fillId="0" borderId="70" xfId="0" applyNumberFormat="1" applyFont="1" applyBorder="1"/>
    <xf numFmtId="3" fontId="35" fillId="0" borderId="43" xfId="0" applyNumberFormat="1" applyFont="1" applyBorder="1"/>
    <xf numFmtId="3" fontId="38" fillId="0" borderId="62" xfId="0" applyNumberFormat="1" applyFont="1" applyBorder="1"/>
    <xf numFmtId="3" fontId="35" fillId="0" borderId="19" xfId="0" applyNumberFormat="1" applyFont="1" applyBorder="1"/>
    <xf numFmtId="3" fontId="38" fillId="3" borderId="23" xfId="0" applyNumberFormat="1" applyFont="1" applyFill="1" applyBorder="1" applyAlignment="1">
      <alignment wrapText="1"/>
    </xf>
    <xf numFmtId="3" fontId="38" fillId="3" borderId="14" xfId="0" applyNumberFormat="1" applyFont="1" applyFill="1" applyBorder="1" applyAlignment="1">
      <alignment wrapText="1"/>
    </xf>
    <xf numFmtId="3" fontId="38" fillId="3" borderId="47" xfId="0" applyNumberFormat="1" applyFont="1" applyFill="1" applyBorder="1" applyAlignment="1">
      <alignment wrapText="1"/>
    </xf>
    <xf numFmtId="3" fontId="38" fillId="3" borderId="27" xfId="0" applyNumberFormat="1" applyFont="1" applyFill="1" applyBorder="1" applyAlignment="1">
      <alignment wrapText="1"/>
    </xf>
    <xf numFmtId="3" fontId="35" fillId="5" borderId="19" xfId="0" applyNumberFormat="1" applyFont="1" applyFill="1" applyBorder="1"/>
    <xf numFmtId="3" fontId="35" fillId="5" borderId="70" xfId="0" applyNumberFormat="1" applyFont="1" applyFill="1" applyBorder="1"/>
    <xf numFmtId="3" fontId="35" fillId="0" borderId="61" xfId="0" applyNumberFormat="1" applyFont="1" applyBorder="1"/>
    <xf numFmtId="3" fontId="35" fillId="0" borderId="30" xfId="0" applyNumberFormat="1" applyFont="1" applyBorder="1"/>
    <xf numFmtId="3" fontId="35" fillId="5" borderId="42" xfId="0" applyNumberFormat="1" applyFont="1" applyFill="1" applyBorder="1"/>
    <xf numFmtId="3" fontId="35" fillId="0" borderId="14" xfId="0" applyNumberFormat="1" applyFont="1" applyBorder="1"/>
    <xf numFmtId="3" fontId="38" fillId="5" borderId="42" xfId="0" applyNumberFormat="1" applyFont="1" applyFill="1" applyBorder="1"/>
    <xf numFmtId="3" fontId="35" fillId="5" borderId="21" xfId="0" applyNumberFormat="1" applyFont="1" applyFill="1" applyBorder="1"/>
    <xf numFmtId="3" fontId="38" fillId="5" borderId="21" xfId="0" applyNumberFormat="1" applyFont="1" applyFill="1" applyBorder="1"/>
    <xf numFmtId="3" fontId="35" fillId="0" borderId="57" xfId="0" applyNumberFormat="1" applyFont="1" applyBorder="1"/>
    <xf numFmtId="3" fontId="35" fillId="0" borderId="20" xfId="0" applyNumberFormat="1" applyFont="1" applyBorder="1"/>
    <xf numFmtId="3" fontId="35" fillId="0" borderId="21" xfId="0" applyNumberFormat="1" applyFont="1" applyBorder="1"/>
    <xf numFmtId="3" fontId="38" fillId="0" borderId="21" xfId="0" applyNumberFormat="1" applyFont="1" applyBorder="1"/>
    <xf numFmtId="3" fontId="38" fillId="0" borderId="14" xfId="0" applyNumberFormat="1" applyFont="1" applyBorder="1"/>
    <xf numFmtId="3" fontId="38" fillId="3" borderId="42" xfId="0" applyNumberFormat="1" applyFont="1" applyFill="1" applyBorder="1" applyAlignment="1">
      <alignment wrapText="1"/>
    </xf>
    <xf numFmtId="3" fontId="38" fillId="3" borderId="25" xfId="0" applyNumberFormat="1" applyFont="1" applyFill="1" applyBorder="1" applyAlignment="1">
      <alignment wrapText="1"/>
    </xf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8" fillId="5" borderId="17" xfId="0" applyNumberFormat="1" applyFont="1" applyFill="1" applyBorder="1"/>
    <xf numFmtId="3" fontId="38" fillId="7" borderId="10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8" fillId="5" borderId="58" xfId="0" applyNumberFormat="1" applyFont="1" applyFill="1" applyBorder="1"/>
    <xf numFmtId="3" fontId="38" fillId="7" borderId="11" xfId="0" applyNumberFormat="1" applyFont="1" applyFill="1" applyBorder="1"/>
    <xf numFmtId="3" fontId="35" fillId="7" borderId="16" xfId="0" applyNumberFormat="1" applyFont="1" applyFill="1" applyBorder="1"/>
    <xf numFmtId="3" fontId="35" fillId="0" borderId="58" xfId="0" applyNumberFormat="1" applyFont="1" applyBorder="1"/>
    <xf numFmtId="3" fontId="35" fillId="0" borderId="59" xfId="0" applyNumberFormat="1" applyFont="1" applyBorder="1"/>
    <xf numFmtId="3" fontId="35" fillId="7" borderId="4" xfId="0" applyNumberFormat="1" applyFont="1" applyFill="1" applyBorder="1"/>
    <xf numFmtId="3" fontId="35" fillId="4" borderId="10" xfId="0" applyNumberFormat="1" applyFont="1" applyFill="1" applyBorder="1"/>
    <xf numFmtId="3" fontId="38" fillId="4" borderId="10" xfId="0" applyNumberFormat="1" applyFont="1" applyFill="1" applyBorder="1"/>
    <xf numFmtId="3" fontId="35" fillId="4" borderId="11" xfId="0" applyNumberFormat="1" applyFont="1" applyFill="1" applyBorder="1"/>
    <xf numFmtId="3" fontId="38" fillId="4" borderId="11" xfId="0" applyNumberFormat="1" applyFont="1" applyFill="1" applyBorder="1"/>
    <xf numFmtId="3" fontId="35" fillId="4" borderId="16" xfId="0" applyNumberFormat="1" applyFont="1" applyFill="1" applyBorder="1"/>
    <xf numFmtId="3" fontId="35" fillId="4" borderId="36" xfId="0" applyNumberFormat="1" applyFont="1" applyFill="1" applyBorder="1"/>
    <xf numFmtId="3" fontId="35" fillId="0" borderId="2" xfId="0" applyNumberFormat="1" applyFont="1" applyBorder="1"/>
    <xf numFmtId="3" fontId="38" fillId="7" borderId="10" xfId="0" applyNumberFormat="1" applyFont="1" applyFill="1" applyBorder="1" applyAlignment="1">
      <alignment wrapText="1"/>
    </xf>
    <xf numFmtId="3" fontId="35" fillId="7" borderId="36" xfId="0" applyNumberFormat="1" applyFont="1" applyFill="1" applyBorder="1"/>
    <xf numFmtId="3" fontId="35" fillId="0" borderId="15" xfId="0" applyNumberFormat="1" applyFont="1" applyBorder="1"/>
    <xf numFmtId="3" fontId="38" fillId="0" borderId="58" xfId="0" applyNumberFormat="1" applyFont="1" applyBorder="1"/>
    <xf numFmtId="3" fontId="35" fillId="0" borderId="18" xfId="0" applyNumberFormat="1" applyFont="1" applyBorder="1"/>
    <xf numFmtId="3" fontId="38" fillId="0" borderId="19" xfId="0" applyNumberFormat="1" applyFont="1" applyBorder="1"/>
    <xf numFmtId="3" fontId="35" fillId="3" borderId="14" xfId="0" applyNumberFormat="1" applyFont="1" applyFill="1" applyBorder="1" applyAlignment="1">
      <alignment wrapText="1"/>
    </xf>
    <xf numFmtId="0" fontId="90" fillId="5" borderId="0" xfId="0" applyFont="1" applyFill="1"/>
    <xf numFmtId="0" fontId="90" fillId="12" borderId="0" xfId="0" applyFont="1" applyFill="1"/>
    <xf numFmtId="0" fontId="90" fillId="5" borderId="2" xfId="0" applyFont="1" applyFill="1" applyBorder="1"/>
    <xf numFmtId="0" fontId="90" fillId="5" borderId="30" xfId="0" applyFont="1" applyFill="1" applyBorder="1"/>
    <xf numFmtId="0" fontId="90" fillId="5" borderId="5" xfId="0" applyFont="1" applyFill="1" applyBorder="1"/>
    <xf numFmtId="0" fontId="90" fillId="5" borderId="50" xfId="0" applyFont="1" applyFill="1" applyBorder="1"/>
    <xf numFmtId="0" fontId="90" fillId="5" borderId="40" xfId="0" applyFont="1" applyFill="1" applyBorder="1"/>
    <xf numFmtId="0" fontId="90" fillId="5" borderId="37" xfId="0" applyFont="1" applyFill="1" applyBorder="1"/>
    <xf numFmtId="0" fontId="90" fillId="5" borderId="33" xfId="0" applyFont="1" applyFill="1" applyBorder="1"/>
    <xf numFmtId="0" fontId="90" fillId="0" borderId="16" xfId="0" applyFont="1" applyBorder="1"/>
    <xf numFmtId="0" fontId="90" fillId="0" borderId="18" xfId="0" applyFont="1" applyBorder="1" applyAlignment="1">
      <alignment horizontal="center"/>
    </xf>
    <xf numFmtId="0" fontId="90" fillId="0" borderId="13" xfId="0" applyFont="1" applyBorder="1" applyAlignment="1">
      <alignment horizontal="center"/>
    </xf>
    <xf numFmtId="0" fontId="90" fillId="0" borderId="71" xfId="0" applyFont="1" applyBorder="1" applyAlignment="1">
      <alignment horizontal="center"/>
    </xf>
    <xf numFmtId="0" fontId="90" fillId="0" borderId="47" xfId="0" applyFont="1" applyBorder="1" applyAlignment="1">
      <alignment horizontal="center"/>
    </xf>
    <xf numFmtId="0" fontId="90" fillId="5" borderId="23" xfId="0" applyFont="1" applyFill="1" applyBorder="1"/>
    <xf numFmtId="0" fontId="90" fillId="5" borderId="25" xfId="0" applyFont="1" applyFill="1" applyBorder="1"/>
    <xf numFmtId="0" fontId="90" fillId="5" borderId="27" xfId="0" applyFont="1" applyFill="1" applyBorder="1"/>
    <xf numFmtId="0" fontId="90" fillId="0" borderId="10" xfId="0" applyFont="1" applyBorder="1"/>
    <xf numFmtId="0" fontId="90" fillId="0" borderId="23" xfId="0" applyFont="1" applyBorder="1" applyAlignment="1">
      <alignment horizontal="center"/>
    </xf>
    <xf numFmtId="0" fontId="90" fillId="0" borderId="25" xfId="0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90" fillId="0" borderId="14" xfId="0" applyFont="1" applyBorder="1" applyAlignment="1">
      <alignment horizontal="center"/>
    </xf>
    <xf numFmtId="0" fontId="90" fillId="5" borderId="19" xfId="0" applyFont="1" applyFill="1" applyBorder="1"/>
    <xf numFmtId="0" fontId="90" fillId="5" borderId="14" xfId="0" applyFont="1" applyFill="1" applyBorder="1"/>
    <xf numFmtId="0" fontId="90" fillId="5" borderId="43" xfId="0" applyFont="1" applyFill="1" applyBorder="1"/>
    <xf numFmtId="0" fontId="90" fillId="0" borderId="11" xfId="0" applyFont="1" applyBorder="1"/>
    <xf numFmtId="0" fontId="90" fillId="0" borderId="19" xfId="0" applyFont="1" applyBorder="1" applyAlignment="1">
      <alignment horizontal="center"/>
    </xf>
    <xf numFmtId="0" fontId="90" fillId="0" borderId="70" xfId="0" applyFont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90" fillId="0" borderId="59" xfId="0" applyFont="1" applyBorder="1" applyAlignment="1">
      <alignment horizontal="center"/>
    </xf>
    <xf numFmtId="0" fontId="90" fillId="0" borderId="69" xfId="0" applyFont="1" applyBorder="1" applyAlignment="1">
      <alignment horizontal="center"/>
    </xf>
    <xf numFmtId="0" fontId="90" fillId="0" borderId="62" xfId="0" applyFont="1" applyBorder="1" applyAlignment="1">
      <alignment horizontal="center"/>
    </xf>
    <xf numFmtId="0" fontId="90" fillId="0" borderId="34" xfId="0" applyFont="1" applyBorder="1"/>
    <xf numFmtId="0" fontId="90" fillId="0" borderId="40" xfId="0" applyFont="1" applyBorder="1" applyAlignment="1">
      <alignment horizontal="center"/>
    </xf>
    <xf numFmtId="0" fontId="90" fillId="0" borderId="37" xfId="0" applyFont="1" applyBorder="1" applyAlignment="1">
      <alignment horizontal="center"/>
    </xf>
    <xf numFmtId="0" fontId="90" fillId="0" borderId="49" xfId="0" applyFont="1" applyBorder="1" applyAlignment="1">
      <alignment horizontal="center"/>
    </xf>
    <xf numFmtId="0" fontId="90" fillId="0" borderId="44" xfId="0" applyFont="1" applyBorder="1" applyAlignment="1">
      <alignment horizontal="center"/>
    </xf>
    <xf numFmtId="0" fontId="92" fillId="12" borderId="0" xfId="0" applyFont="1" applyFill="1"/>
    <xf numFmtId="0" fontId="91" fillId="12" borderId="0" xfId="0" applyFont="1" applyFill="1"/>
    <xf numFmtId="0" fontId="91" fillId="12" borderId="0" xfId="0" applyFont="1" applyFill="1" applyAlignment="1">
      <alignment horizontal="right"/>
    </xf>
    <xf numFmtId="0" fontId="90" fillId="5" borderId="0" xfId="0" applyFont="1" applyFill="1" applyAlignment="1">
      <alignment horizontal="right" wrapText="1"/>
    </xf>
    <xf numFmtId="0" fontId="91" fillId="0" borderId="39" xfId="0" applyFont="1" applyBorder="1"/>
    <xf numFmtId="0" fontId="90" fillId="0" borderId="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50" xfId="0" applyFont="1" applyBorder="1" applyAlignment="1">
      <alignment horizontal="center" vertical="center"/>
    </xf>
    <xf numFmtId="0" fontId="90" fillId="0" borderId="30" xfId="0" applyFont="1" applyBorder="1" applyAlignment="1">
      <alignment horizontal="center" vertical="center" wrapText="1"/>
    </xf>
    <xf numFmtId="0" fontId="90" fillId="5" borderId="18" xfId="0" applyFont="1" applyFill="1" applyBorder="1" applyAlignment="1">
      <alignment vertical="center"/>
    </xf>
    <xf numFmtId="0" fontId="90" fillId="5" borderId="13" xfId="0" applyFont="1" applyFill="1" applyBorder="1" applyAlignment="1">
      <alignment vertical="center"/>
    </xf>
    <xf numFmtId="0" fontId="90" fillId="5" borderId="67" xfId="0" applyFont="1" applyFill="1" applyBorder="1" applyAlignment="1">
      <alignment horizontal="right" vertical="center" wrapText="1"/>
    </xf>
    <xf numFmtId="0" fontId="11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3" fillId="0" borderId="72" xfId="0" applyNumberFormat="1" applyFont="1" applyBorder="1"/>
    <xf numFmtId="0" fontId="29" fillId="25" borderId="76" xfId="11" applyAlignment="1">
      <alignment horizontal="center"/>
    </xf>
    <xf numFmtId="0" fontId="29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6" fillId="26" borderId="70" xfId="12" applyNumberFormat="1" applyBorder="1"/>
    <xf numFmtId="0" fontId="6" fillId="26" borderId="62" xfId="12" applyBorder="1"/>
    <xf numFmtId="0" fontId="6" fillId="26" borderId="62" xfId="12" applyBorder="1" applyAlignment="1">
      <alignment horizontal="right" vertical="center"/>
    </xf>
    <xf numFmtId="0" fontId="6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6" fillId="4" borderId="70" xfId="12" applyNumberFormat="1" applyFill="1" applyBorder="1"/>
    <xf numFmtId="0" fontId="6" fillId="4" borderId="62" xfId="12" applyFill="1" applyBorder="1"/>
    <xf numFmtId="0" fontId="6" fillId="4" borderId="62" xfId="12" applyFill="1" applyBorder="1" applyAlignment="1">
      <alignment horizontal="right" vertical="center"/>
    </xf>
    <xf numFmtId="0" fontId="6" fillId="4" borderId="21" xfId="12" applyFill="1" applyBorder="1" applyAlignment="1">
      <alignment horizontal="right"/>
    </xf>
    <xf numFmtId="14" fontId="6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3" fillId="0" borderId="19" xfId="10" applyNumberFormat="1" applyFont="1" applyBorder="1" applyAlignment="1">
      <alignment horizontal="center" vertical="center"/>
    </xf>
    <xf numFmtId="3" fontId="33" fillId="0" borderId="7" xfId="10" applyNumberFormat="1" applyFont="1" applyBorder="1"/>
    <xf numFmtId="0" fontId="33" fillId="3" borderId="8" xfId="3" applyFont="1" applyFill="1" applyBorder="1" applyAlignment="1">
      <alignment wrapText="1"/>
    </xf>
    <xf numFmtId="0" fontId="33" fillId="3" borderId="35" xfId="3" applyFont="1" applyFill="1" applyBorder="1" applyAlignment="1">
      <alignment wrapText="1"/>
    </xf>
    <xf numFmtId="3" fontId="94" fillId="9" borderId="1" xfId="10" applyNumberFormat="1" applyFont="1" applyFill="1" applyBorder="1"/>
    <xf numFmtId="3" fontId="94" fillId="9" borderId="22" xfId="10" applyNumberFormat="1" applyFont="1" applyFill="1" applyBorder="1"/>
    <xf numFmtId="3" fontId="94" fillId="9" borderId="30" xfId="10" applyNumberFormat="1" applyFont="1" applyFill="1" applyBorder="1"/>
    <xf numFmtId="3" fontId="94" fillId="9" borderId="5" xfId="10" applyNumberFormat="1" applyFont="1" applyFill="1" applyBorder="1"/>
    <xf numFmtId="3" fontId="94" fillId="9" borderId="50" xfId="10" applyNumberFormat="1" applyFont="1" applyFill="1" applyBorder="1"/>
    <xf numFmtId="0" fontId="37" fillId="5" borderId="0" xfId="3" applyFont="1" applyFill="1" applyAlignment="1">
      <alignment horizontal="center"/>
    </xf>
    <xf numFmtId="0" fontId="41" fillId="5" borderId="0" xfId="3" applyFont="1" applyFill="1" applyAlignment="1">
      <alignment horizontal="center"/>
    </xf>
    <xf numFmtId="0" fontId="41" fillId="5" borderId="0" xfId="3" applyFont="1" applyFill="1"/>
    <xf numFmtId="0" fontId="34" fillId="23" borderId="0" xfId="3" applyFont="1" applyFill="1"/>
    <xf numFmtId="3" fontId="37" fillId="5" borderId="0" xfId="3" applyNumberFormat="1" applyFont="1" applyFill="1"/>
    <xf numFmtId="3" fontId="96" fillId="5" borderId="23" xfId="10" applyNumberFormat="1" applyFont="1" applyFill="1" applyBorder="1" applyAlignment="1">
      <alignment horizontal="center" vertical="center"/>
    </xf>
    <xf numFmtId="3" fontId="33" fillId="0" borderId="25" xfId="10" applyNumberFormat="1" applyFont="1" applyBorder="1" applyAlignment="1">
      <alignment horizontal="right" vertical="center"/>
    </xf>
    <xf numFmtId="3" fontId="41" fillId="5" borderId="0" xfId="3" applyNumberFormat="1" applyFont="1" applyFill="1"/>
    <xf numFmtId="0" fontId="33" fillId="23" borderId="0" xfId="3" applyFont="1" applyFill="1"/>
    <xf numFmtId="3" fontId="33" fillId="0" borderId="23" xfId="10" applyNumberFormat="1" applyFont="1" applyBorder="1" applyAlignment="1">
      <alignment horizontal="center" vertical="center"/>
    </xf>
    <xf numFmtId="3" fontId="33" fillId="0" borderId="41" xfId="10" applyNumberFormat="1" applyFont="1" applyBorder="1"/>
    <xf numFmtId="3" fontId="96" fillId="0" borderId="23" xfId="10" applyNumberFormat="1" applyFont="1" applyBorder="1" applyAlignment="1">
      <alignment horizontal="center" vertical="center"/>
    </xf>
    <xf numFmtId="3" fontId="33" fillId="0" borderId="23" xfId="10" applyNumberFormat="1" applyFont="1" applyBorder="1"/>
    <xf numFmtId="3" fontId="97" fillId="8" borderId="54" xfId="10" applyNumberFormat="1" applyFont="1" applyFill="1" applyBorder="1"/>
    <xf numFmtId="3" fontId="97" fillId="8" borderId="55" xfId="10" applyNumberFormat="1" applyFont="1" applyFill="1" applyBorder="1"/>
    <xf numFmtId="3" fontId="97" fillId="8" borderId="45" xfId="10" applyNumberFormat="1" applyFont="1" applyFill="1" applyBorder="1"/>
    <xf numFmtId="3" fontId="97" fillId="8" borderId="51" xfId="10" applyNumberFormat="1" applyFont="1" applyFill="1" applyBorder="1"/>
    <xf numFmtId="3" fontId="97" fillId="8" borderId="52" xfId="10" applyNumberFormat="1" applyFont="1" applyFill="1" applyBorder="1"/>
    <xf numFmtId="3" fontId="38" fillId="5" borderId="0" xfId="3" applyNumberFormat="1" applyFont="1" applyFill="1"/>
    <xf numFmtId="3" fontId="44" fillId="5" borderId="0" xfId="3" applyNumberFormat="1" applyFont="1" applyFill="1"/>
    <xf numFmtId="0" fontId="44" fillId="5" borderId="0" xfId="3" applyFont="1" applyFill="1"/>
    <xf numFmtId="0" fontId="35" fillId="23" borderId="0" xfId="3" applyFont="1" applyFill="1"/>
    <xf numFmtId="3" fontId="43" fillId="5" borderId="0" xfId="10" applyNumberFormat="1" applyFont="1" applyFill="1" applyAlignment="1">
      <alignment horizontal="left"/>
    </xf>
    <xf numFmtId="3" fontId="43" fillId="5" borderId="0" xfId="10" applyNumberFormat="1" applyFont="1" applyFill="1"/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3" fontId="33" fillId="0" borderId="77" xfId="10" applyNumberFormat="1" applyFont="1" applyBorder="1"/>
    <xf numFmtId="3" fontId="33" fillId="0" borderId="42" xfId="10" applyNumberFormat="1" applyFont="1" applyBorder="1"/>
    <xf numFmtId="3" fontId="33" fillId="0" borderId="47" xfId="10" applyNumberFormat="1" applyFont="1" applyBorder="1"/>
    <xf numFmtId="3" fontId="33" fillId="0" borderId="25" xfId="10" applyNumberFormat="1" applyFont="1" applyBorder="1"/>
    <xf numFmtId="3" fontId="33" fillId="0" borderId="26" xfId="10" applyNumberFormat="1" applyFont="1" applyBorder="1"/>
    <xf numFmtId="3" fontId="33" fillId="0" borderId="13" xfId="10" applyNumberFormat="1" applyFont="1" applyBorder="1"/>
    <xf numFmtId="3" fontId="33" fillId="0" borderId="19" xfId="10" applyNumberFormat="1" applyFont="1" applyBorder="1"/>
    <xf numFmtId="3" fontId="33" fillId="0" borderId="14" xfId="10" applyNumberFormat="1" applyFont="1" applyBorder="1"/>
    <xf numFmtId="3" fontId="33" fillId="0" borderId="70" xfId="10" applyNumberFormat="1" applyFont="1" applyBorder="1"/>
    <xf numFmtId="3" fontId="33" fillId="0" borderId="21" xfId="10" applyNumberFormat="1" applyFont="1" applyBorder="1"/>
    <xf numFmtId="3" fontId="33" fillId="0" borderId="62" xfId="10" applyNumberFormat="1" applyFont="1" applyBorder="1"/>
    <xf numFmtId="3" fontId="33" fillId="0" borderId="54" xfId="10" applyNumberFormat="1" applyFont="1" applyBorder="1"/>
    <xf numFmtId="3" fontId="33" fillId="0" borderId="40" xfId="10" applyNumberFormat="1" applyFont="1" applyBorder="1"/>
    <xf numFmtId="3" fontId="33" fillId="0" borderId="48" xfId="10" applyNumberFormat="1" applyFont="1" applyBorder="1"/>
    <xf numFmtId="3" fontId="33" fillId="0" borderId="37" xfId="10" applyNumberFormat="1" applyFont="1" applyBorder="1"/>
    <xf numFmtId="3" fontId="33" fillId="0" borderId="49" xfId="10" applyNumberFormat="1" applyFont="1" applyBorder="1"/>
    <xf numFmtId="3" fontId="33" fillId="0" borderId="44" xfId="10" applyNumberFormat="1" applyFont="1" applyBorder="1"/>
    <xf numFmtId="3" fontId="33" fillId="5" borderId="30" xfId="10" applyNumberFormat="1" applyFont="1" applyFill="1" applyBorder="1" applyAlignment="1">
      <alignment horizontal="left"/>
    </xf>
    <xf numFmtId="3" fontId="33" fillId="5" borderId="0" xfId="10" applyNumberFormat="1" applyFont="1" applyFill="1" applyAlignment="1">
      <alignment horizontal="left"/>
    </xf>
    <xf numFmtId="3" fontId="33" fillId="5" borderId="0" xfId="10" applyNumberFormat="1" applyFont="1" applyFill="1"/>
    <xf numFmtId="0" fontId="36" fillId="23" borderId="0" xfId="3" applyFont="1" applyFill="1"/>
    <xf numFmtId="0" fontId="33" fillId="3" borderId="9" xfId="3" applyFont="1" applyFill="1" applyBorder="1" applyAlignment="1">
      <alignment wrapText="1"/>
    </xf>
    <xf numFmtId="3" fontId="33" fillId="0" borderId="29" xfId="10" applyNumberFormat="1" applyFont="1" applyBorder="1"/>
    <xf numFmtId="3" fontId="33" fillId="0" borderId="75" xfId="10" applyNumberFormat="1" applyFont="1" applyBorder="1"/>
    <xf numFmtId="3" fontId="33" fillId="0" borderId="74" xfId="10" applyNumberFormat="1" applyFont="1" applyBorder="1"/>
    <xf numFmtId="3" fontId="33" fillId="0" borderId="24" xfId="10" applyNumberFormat="1" applyFont="1" applyBorder="1"/>
    <xf numFmtId="3" fontId="33" fillId="0" borderId="72" xfId="10" applyNumberFormat="1" applyFont="1" applyBorder="1"/>
    <xf numFmtId="0" fontId="35" fillId="0" borderId="0" xfId="3" applyFont="1" applyAlignment="1">
      <alignment vertical="center" textRotation="90"/>
    </xf>
    <xf numFmtId="3" fontId="98" fillId="8" borderId="1" xfId="10" applyNumberFormat="1" applyFont="1" applyFill="1" applyBorder="1"/>
    <xf numFmtId="3" fontId="98" fillId="8" borderId="22" xfId="10" applyNumberFormat="1" applyFont="1" applyFill="1" applyBorder="1"/>
    <xf numFmtId="3" fontId="98" fillId="8" borderId="30" xfId="10" applyNumberFormat="1" applyFont="1" applyFill="1" applyBorder="1"/>
    <xf numFmtId="3" fontId="98" fillId="8" borderId="5" xfId="10" applyNumberFormat="1" applyFont="1" applyFill="1" applyBorder="1"/>
    <xf numFmtId="3" fontId="98" fillId="8" borderId="50" xfId="10" applyNumberFormat="1" applyFont="1" applyFill="1" applyBorder="1"/>
    <xf numFmtId="0" fontId="38" fillId="5" borderId="0" xfId="3" applyFont="1" applyFill="1"/>
    <xf numFmtId="0" fontId="38" fillId="23" borderId="0" xfId="3" applyFont="1" applyFill="1"/>
    <xf numFmtId="3" fontId="37" fillId="0" borderId="59" xfId="10" applyNumberFormat="1" applyFont="1" applyBorder="1" applyAlignment="1">
      <alignment horizontal="center"/>
    </xf>
    <xf numFmtId="3" fontId="37" fillId="18" borderId="43" xfId="10" applyNumberFormat="1" applyFont="1" applyFill="1" applyBorder="1" applyAlignment="1">
      <alignment horizontal="right"/>
    </xf>
    <xf numFmtId="3" fontId="37" fillId="0" borderId="19" xfId="10" applyNumberFormat="1" applyFont="1" applyBorder="1"/>
    <xf numFmtId="3" fontId="37" fillId="0" borderId="21" xfId="10" applyNumberFormat="1" applyFont="1" applyBorder="1"/>
    <xf numFmtId="3" fontId="37" fillId="0" borderId="62" xfId="10" applyNumberFormat="1" applyFont="1" applyBorder="1"/>
    <xf numFmtId="3" fontId="37" fillId="0" borderId="13" xfId="10" applyNumberFormat="1" applyFont="1" applyBorder="1"/>
    <xf numFmtId="3" fontId="37" fillId="0" borderId="70" xfId="10" applyNumberFormat="1" applyFont="1" applyBorder="1"/>
    <xf numFmtId="3" fontId="37" fillId="0" borderId="14" xfId="10" applyNumberFormat="1" applyFont="1" applyBorder="1"/>
    <xf numFmtId="0" fontId="37" fillId="23" borderId="0" xfId="3" applyFont="1" applyFill="1"/>
    <xf numFmtId="3" fontId="37" fillId="0" borderId="25" xfId="10" applyNumberFormat="1" applyFont="1" applyBorder="1"/>
    <xf numFmtId="3" fontId="37" fillId="18" borderId="66" xfId="10" applyNumberFormat="1" applyFont="1" applyFill="1" applyBorder="1" applyAlignment="1">
      <alignment horizontal="right"/>
    </xf>
    <xf numFmtId="3" fontId="37" fillId="0" borderId="29" xfId="10" applyNumberFormat="1" applyFont="1" applyBorder="1"/>
    <xf numFmtId="3" fontId="37" fillId="0" borderId="75" xfId="10" applyNumberFormat="1" applyFont="1" applyBorder="1"/>
    <xf numFmtId="3" fontId="37" fillId="0" borderId="74" xfId="10" applyNumberFormat="1" applyFont="1" applyBorder="1"/>
    <xf numFmtId="3" fontId="37" fillId="0" borderId="24" xfId="10" applyNumberFormat="1" applyFont="1" applyBorder="1"/>
    <xf numFmtId="3" fontId="37" fillId="0" borderId="72" xfId="10" applyNumberFormat="1" applyFont="1" applyBorder="1"/>
    <xf numFmtId="3" fontId="37" fillId="0" borderId="54" xfId="10" applyNumberFormat="1" applyFont="1" applyBorder="1" applyAlignment="1">
      <alignment horizontal="center"/>
    </xf>
    <xf numFmtId="0" fontId="33" fillId="3" borderId="43" xfId="3" applyFont="1" applyFill="1" applyBorder="1" applyAlignment="1">
      <alignment wrapText="1"/>
    </xf>
    <xf numFmtId="3" fontId="41" fillId="0" borderId="59" xfId="10" applyNumberFormat="1" applyFont="1" applyBorder="1" applyAlignment="1">
      <alignment horizontal="center"/>
    </xf>
    <xf numFmtId="0" fontId="41" fillId="3" borderId="43" xfId="3" applyFont="1" applyFill="1" applyBorder="1" applyAlignment="1">
      <alignment wrapText="1"/>
    </xf>
    <xf numFmtId="3" fontId="41" fillId="0" borderId="19" xfId="10" applyNumberFormat="1" applyFont="1" applyBorder="1"/>
    <xf numFmtId="3" fontId="41" fillId="0" borderId="21" xfId="10" applyNumberFormat="1" applyFont="1" applyBorder="1"/>
    <xf numFmtId="3" fontId="41" fillId="0" borderId="62" xfId="10" applyNumberFormat="1" applyFont="1" applyBorder="1"/>
    <xf numFmtId="3" fontId="41" fillId="0" borderId="14" xfId="10" applyNumberFormat="1" applyFont="1" applyBorder="1"/>
    <xf numFmtId="3" fontId="41" fillId="0" borderId="70" xfId="10" applyNumberFormat="1" applyFont="1" applyBorder="1"/>
    <xf numFmtId="0" fontId="41" fillId="23" borderId="0" xfId="3" applyFont="1" applyFill="1"/>
    <xf numFmtId="0" fontId="33" fillId="3" borderId="33" xfId="3" applyFont="1" applyFill="1" applyBorder="1" applyAlignment="1">
      <alignment wrapText="1"/>
    </xf>
    <xf numFmtId="0" fontId="34" fillId="0" borderId="4" xfId="3" applyFont="1" applyBorder="1"/>
    <xf numFmtId="3" fontId="94" fillId="10" borderId="1" xfId="3" applyNumberFormat="1" applyFont="1" applyFill="1" applyBorder="1" applyAlignment="1">
      <alignment vertical="center" wrapText="1"/>
    </xf>
    <xf numFmtId="3" fontId="94" fillId="10" borderId="22" xfId="3" applyNumberFormat="1" applyFont="1" applyFill="1" applyBorder="1" applyAlignment="1">
      <alignment vertical="center" wrapText="1"/>
    </xf>
    <xf numFmtId="3" fontId="94" fillId="10" borderId="30" xfId="3" applyNumberFormat="1" applyFont="1" applyFill="1" applyBorder="1" applyAlignment="1">
      <alignment vertical="center" wrapText="1"/>
    </xf>
    <xf numFmtId="3" fontId="94" fillId="10" borderId="5" xfId="3" applyNumberFormat="1" applyFont="1" applyFill="1" applyBorder="1" applyAlignment="1">
      <alignment vertical="center" wrapText="1"/>
    </xf>
    <xf numFmtId="3" fontId="94" fillId="10" borderId="50" xfId="3" applyNumberFormat="1" applyFont="1" applyFill="1" applyBorder="1" applyAlignment="1">
      <alignment vertical="center" wrapText="1"/>
    </xf>
    <xf numFmtId="0" fontId="37" fillId="0" borderId="36" xfId="3" applyFont="1" applyBorder="1"/>
    <xf numFmtId="0" fontId="37" fillId="0" borderId="2" xfId="3" applyFont="1" applyBorder="1"/>
    <xf numFmtId="0" fontId="37" fillId="0" borderId="6" xfId="3" applyFont="1" applyBorder="1"/>
    <xf numFmtId="3" fontId="37" fillId="0" borderId="59" xfId="3" applyNumberFormat="1" applyFont="1" applyBorder="1"/>
    <xf numFmtId="3" fontId="37" fillId="0" borderId="0" xfId="3" applyNumberFormat="1" applyFont="1"/>
    <xf numFmtId="3" fontId="37" fillId="0" borderId="69" xfId="3" applyNumberFormat="1" applyFont="1" applyBorder="1"/>
    <xf numFmtId="3" fontId="37" fillId="0" borderId="57" xfId="3" applyNumberFormat="1" applyFont="1" applyBorder="1"/>
    <xf numFmtId="0" fontId="34" fillId="0" borderId="53" xfId="3" applyFont="1" applyBorder="1"/>
    <xf numFmtId="0" fontId="35" fillId="2" borderId="41" xfId="5" applyFont="1" applyFill="1" applyBorder="1" applyAlignment="1">
      <alignment horizontal="center" vertical="center"/>
    </xf>
    <xf numFmtId="0" fontId="35" fillId="2" borderId="0" xfId="5" applyFont="1" applyFill="1" applyAlignment="1">
      <alignment horizontal="center" vertical="center"/>
    </xf>
    <xf numFmtId="0" fontId="35" fillId="2" borderId="69" xfId="5" applyFont="1" applyFill="1" applyBorder="1" applyAlignment="1">
      <alignment horizontal="center" vertical="center"/>
    </xf>
    <xf numFmtId="0" fontId="35" fillId="2" borderId="38" xfId="5" applyFont="1" applyFill="1" applyBorder="1" applyAlignment="1">
      <alignment horizontal="center" vertical="center"/>
    </xf>
    <xf numFmtId="49" fontId="35" fillId="4" borderId="1" xfId="5" applyNumberFormat="1" applyFont="1" applyFill="1" applyBorder="1" applyAlignment="1">
      <alignment horizontal="center" vertical="center"/>
    </xf>
    <xf numFmtId="49" fontId="35" fillId="4" borderId="5" xfId="5" applyNumberFormat="1" applyFont="1" applyFill="1" applyBorder="1" applyAlignment="1">
      <alignment horizontal="center" vertical="center"/>
    </xf>
    <xf numFmtId="49" fontId="35" fillId="7" borderId="5" xfId="5" applyNumberFormat="1" applyFont="1" applyFill="1" applyBorder="1" applyAlignment="1">
      <alignment horizontal="center" vertical="center"/>
    </xf>
    <xf numFmtId="49" fontId="37" fillId="5" borderId="0" xfId="3" applyNumberFormat="1" applyFont="1" applyFill="1" applyAlignment="1">
      <alignment horizontal="center"/>
    </xf>
    <xf numFmtId="49" fontId="41" fillId="5" borderId="0" xfId="3" applyNumberFormat="1" applyFont="1" applyFill="1" applyAlignment="1">
      <alignment horizontal="center"/>
    </xf>
    <xf numFmtId="49" fontId="33" fillId="23" borderId="0" xfId="3" applyNumberFormat="1" applyFont="1" applyFill="1" applyAlignment="1">
      <alignment horizontal="center"/>
    </xf>
    <xf numFmtId="0" fontId="35" fillId="5" borderId="4" xfId="5" applyFont="1" applyFill="1" applyBorder="1" applyAlignment="1">
      <alignment vertical="center"/>
    </xf>
    <xf numFmtId="0" fontId="35" fillId="5" borderId="0" xfId="10" applyFont="1" applyFill="1"/>
    <xf numFmtId="168" fontId="35" fillId="5" borderId="0" xfId="3" applyNumberFormat="1" applyFont="1" applyFill="1"/>
    <xf numFmtId="3" fontId="33" fillId="0" borderId="35" xfId="10" applyNumberFormat="1" applyFont="1" applyBorder="1"/>
    <xf numFmtId="3" fontId="33" fillId="0" borderId="54" xfId="10" applyNumberFormat="1" applyFont="1" applyBorder="1" applyAlignment="1">
      <alignment horizontal="center" vertical="center"/>
    </xf>
    <xf numFmtId="3" fontId="33" fillId="0" borderId="55" xfId="10" applyNumberFormat="1" applyFont="1" applyBorder="1" applyAlignment="1">
      <alignment horizontal="right" vertical="center"/>
    </xf>
    <xf numFmtId="3" fontId="33" fillId="0" borderId="45" xfId="10" applyNumberFormat="1" applyFont="1" applyBorder="1" applyAlignment="1">
      <alignment horizontal="right" vertical="center"/>
    </xf>
    <xf numFmtId="3" fontId="33" fillId="0" borderId="51" xfId="10" applyNumberFormat="1" applyFont="1" applyBorder="1" applyAlignment="1">
      <alignment horizontal="right" vertical="center"/>
    </xf>
    <xf numFmtId="3" fontId="33" fillId="0" borderId="52" xfId="10" applyNumberFormat="1" applyFont="1" applyBorder="1" applyAlignment="1">
      <alignment horizontal="right" vertical="center"/>
    </xf>
    <xf numFmtId="3" fontId="41" fillId="0" borderId="18" xfId="10" applyNumberFormat="1" applyFont="1" applyBorder="1" applyAlignment="1">
      <alignment horizontal="center" vertical="center"/>
    </xf>
    <xf numFmtId="3" fontId="41" fillId="0" borderId="31" xfId="10" applyNumberFormat="1" applyFont="1" applyBorder="1" applyAlignment="1">
      <alignment horizontal="left" vertical="center"/>
    </xf>
    <xf numFmtId="3" fontId="41" fillId="0" borderId="13" xfId="10" applyNumberFormat="1" applyFont="1" applyBorder="1" applyAlignment="1">
      <alignment horizontal="right" vertical="center"/>
    </xf>
    <xf numFmtId="3" fontId="41" fillId="5" borderId="0" xfId="3" applyNumberFormat="1" applyFont="1" applyFill="1" applyAlignment="1">
      <alignment horizontal="right" vertical="center"/>
    </xf>
    <xf numFmtId="9" fontId="41" fillId="5" borderId="0" xfId="8" applyFont="1" applyFill="1" applyAlignment="1">
      <alignment horizontal="center" vertical="center" wrapText="1"/>
    </xf>
    <xf numFmtId="0" fontId="41" fillId="23" borderId="0" xfId="3" applyFont="1" applyFill="1" applyAlignment="1">
      <alignment horizontal="center" vertical="center"/>
    </xf>
    <xf numFmtId="3" fontId="41" fillId="0" borderId="19" xfId="10" applyNumberFormat="1" applyFont="1" applyBorder="1" applyAlignment="1">
      <alignment horizontal="center" vertical="center"/>
    </xf>
    <xf numFmtId="3" fontId="41" fillId="0" borderId="7" xfId="10" applyNumberFormat="1" applyFont="1" applyBorder="1" applyAlignment="1">
      <alignment horizontal="left" vertical="center"/>
    </xf>
    <xf numFmtId="3" fontId="41" fillId="0" borderId="23" xfId="10" applyNumberFormat="1" applyFont="1" applyBorder="1" applyAlignment="1">
      <alignment horizontal="center" vertical="center"/>
    </xf>
    <xf numFmtId="3" fontId="41" fillId="0" borderId="25" xfId="10" applyNumberFormat="1" applyFont="1" applyBorder="1" applyAlignment="1">
      <alignment horizontal="right" vertical="center"/>
    </xf>
    <xf numFmtId="0" fontId="33" fillId="0" borderId="14" xfId="0" applyFont="1" applyBorder="1" applyAlignment="1">
      <alignment horizontal="right" wrapText="1"/>
    </xf>
    <xf numFmtId="3" fontId="43" fillId="5" borderId="57" xfId="10" applyNumberFormat="1" applyFont="1" applyFill="1" applyBorder="1"/>
    <xf numFmtId="3" fontId="33" fillId="5" borderId="57" xfId="10" applyNumberFormat="1" applyFont="1" applyFill="1" applyBorder="1"/>
    <xf numFmtId="3" fontId="53" fillId="0" borderId="29" xfId="0" applyNumberFormat="1" applyFont="1" applyBorder="1"/>
    <xf numFmtId="3" fontId="53" fillId="0" borderId="75" xfId="0" applyNumberFormat="1" applyFont="1" applyBorder="1"/>
    <xf numFmtId="3" fontId="53" fillId="0" borderId="66" xfId="0" applyNumberFormat="1" applyFont="1" applyBorder="1"/>
    <xf numFmtId="49" fontId="41" fillId="0" borderId="0" xfId="0" applyNumberFormat="1" applyFont="1" applyAlignment="1">
      <alignment vertical="center" wrapText="1"/>
    </xf>
    <xf numFmtId="49" fontId="41" fillId="0" borderId="0" xfId="0" applyNumberFormat="1" applyFont="1" applyAlignment="1">
      <alignment horizontal="left" vertical="center" wrapText="1"/>
    </xf>
    <xf numFmtId="49" fontId="41" fillId="0" borderId="0" xfId="0" applyNumberFormat="1" applyFont="1" applyAlignment="1">
      <alignment vertical="center"/>
    </xf>
    <xf numFmtId="49" fontId="41" fillId="10" borderId="0" xfId="0" applyNumberFormat="1" applyFont="1" applyFill="1"/>
    <xf numFmtId="49" fontId="41" fillId="0" borderId="46" xfId="0" applyNumberFormat="1" applyFont="1" applyBorder="1"/>
    <xf numFmtId="12" fontId="41" fillId="0" borderId="0" xfId="0" applyNumberFormat="1" applyFont="1" applyAlignment="1">
      <alignment wrapText="1"/>
    </xf>
    <xf numFmtId="49" fontId="44" fillId="5" borderId="0" xfId="0" applyNumberFormat="1" applyFont="1" applyFill="1"/>
    <xf numFmtId="49" fontId="41" fillId="22" borderId="0" xfId="0" applyNumberFormat="1" applyFont="1" applyFill="1"/>
    <xf numFmtId="49" fontId="41" fillId="0" borderId="0" xfId="0" applyNumberFormat="1" applyFont="1" applyAlignment="1">
      <alignment wrapText="1"/>
    </xf>
    <xf numFmtId="3" fontId="33" fillId="0" borderId="19" xfId="0" applyNumberFormat="1" applyFont="1" applyBorder="1" applyProtection="1">
      <protection locked="0"/>
    </xf>
    <xf numFmtId="3" fontId="33" fillId="0" borderId="14" xfId="0" applyNumberFormat="1" applyFont="1" applyBorder="1" applyProtection="1">
      <protection locked="0"/>
    </xf>
    <xf numFmtId="0" fontId="60" fillId="0" borderId="0" xfId="0" applyFont="1" applyAlignment="1" applyProtection="1">
      <alignment wrapText="1"/>
      <protection locked="0"/>
    </xf>
    <xf numFmtId="0" fontId="60" fillId="0" borderId="70" xfId="0" applyFont="1" applyBorder="1" applyAlignment="1" applyProtection="1">
      <alignment wrapText="1"/>
      <protection locked="0"/>
    </xf>
    <xf numFmtId="0" fontId="35" fillId="8" borderId="85" xfId="0" applyFont="1" applyFill="1" applyBorder="1"/>
    <xf numFmtId="0" fontId="35" fillId="8" borderId="86" xfId="0" applyFont="1" applyFill="1" applyBorder="1"/>
    <xf numFmtId="0" fontId="35" fillId="8" borderId="86" xfId="0" applyFont="1" applyFill="1" applyBorder="1" applyAlignment="1">
      <alignment horizontal="center"/>
    </xf>
    <xf numFmtId="3" fontId="35" fillId="8" borderId="87" xfId="0" applyNumberFormat="1" applyFont="1" applyFill="1" applyBorder="1"/>
    <xf numFmtId="0" fontId="35" fillId="8" borderId="83" xfId="0" applyFont="1" applyFill="1" applyBorder="1"/>
    <xf numFmtId="0" fontId="35" fillId="8" borderId="81" xfId="0" applyFont="1" applyFill="1" applyBorder="1"/>
    <xf numFmtId="0" fontId="35" fillId="8" borderId="81" xfId="0" applyFont="1" applyFill="1" applyBorder="1" applyAlignment="1">
      <alignment horizontal="center"/>
    </xf>
    <xf numFmtId="3" fontId="35" fillId="8" borderId="82" xfId="0" applyNumberFormat="1" applyFont="1" applyFill="1" applyBorder="1"/>
    <xf numFmtId="0" fontId="35" fillId="4" borderId="2" xfId="0" applyFont="1" applyFill="1" applyBorder="1" applyAlignment="1">
      <alignment vertical="center"/>
    </xf>
    <xf numFmtId="0" fontId="33" fillId="4" borderId="30" xfId="0" applyFont="1" applyFill="1" applyBorder="1" applyAlignment="1">
      <alignment vertical="center"/>
    </xf>
    <xf numFmtId="3" fontId="35" fillId="4" borderId="56" xfId="0" applyNumberFormat="1" applyFont="1" applyFill="1" applyBorder="1" applyAlignment="1">
      <alignment horizontal="center" vertical="center" wrapText="1"/>
    </xf>
    <xf numFmtId="0" fontId="35" fillId="8" borderId="2" xfId="0" applyFont="1" applyFill="1" applyBorder="1"/>
    <xf numFmtId="0" fontId="35" fillId="8" borderId="30" xfId="0" applyFont="1" applyFill="1" applyBorder="1"/>
    <xf numFmtId="0" fontId="35" fillId="8" borderId="30" xfId="0" applyFont="1" applyFill="1" applyBorder="1" applyAlignment="1">
      <alignment horizontal="center"/>
    </xf>
    <xf numFmtId="3" fontId="35" fillId="8" borderId="56" xfId="0" applyNumberFormat="1" applyFont="1" applyFill="1" applyBorder="1"/>
    <xf numFmtId="0" fontId="35" fillId="8" borderId="88" xfId="0" applyFont="1" applyFill="1" applyBorder="1"/>
    <xf numFmtId="0" fontId="35" fillId="8" borderId="80" xfId="0" applyFont="1" applyFill="1" applyBorder="1" applyAlignment="1">
      <alignment horizontal="center"/>
    </xf>
    <xf numFmtId="3" fontId="35" fillId="8" borderId="84" xfId="0" applyNumberFormat="1" applyFont="1" applyFill="1" applyBorder="1"/>
    <xf numFmtId="0" fontId="35" fillId="8" borderId="89" xfId="0" applyFont="1" applyFill="1" applyBorder="1"/>
    <xf numFmtId="0" fontId="35" fillId="8" borderId="81" xfId="0" applyFont="1" applyFill="1" applyBorder="1" applyAlignment="1">
      <alignment horizontal="left"/>
    </xf>
    <xf numFmtId="0" fontId="35" fillId="4" borderId="83" xfId="0" applyFont="1" applyFill="1" applyBorder="1"/>
    <xf numFmtId="0" fontId="35" fillId="4" borderId="81" xfId="0" applyFont="1" applyFill="1" applyBorder="1"/>
    <xf numFmtId="3" fontId="35" fillId="4" borderId="82" xfId="0" applyNumberFormat="1" applyFont="1" applyFill="1" applyBorder="1"/>
    <xf numFmtId="0" fontId="35" fillId="0" borderId="47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7" fillId="0" borderId="0" xfId="0" applyNumberFormat="1" applyFont="1" applyAlignment="1">
      <alignment horizontal="right"/>
    </xf>
    <xf numFmtId="164" fontId="35" fillId="0" borderId="0" xfId="1" applyFont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22" borderId="80" xfId="0" applyNumberFormat="1" applyFont="1" applyFill="1" applyBorder="1" applyAlignment="1">
      <alignment horizontal="right"/>
    </xf>
    <xf numFmtId="0" fontId="35" fillId="8" borderId="0" xfId="0" applyFont="1" applyFill="1"/>
    <xf numFmtId="0" fontId="35" fillId="8" borderId="0" xfId="0" applyFont="1" applyFill="1" applyAlignment="1">
      <alignment horizontal="center"/>
    </xf>
    <xf numFmtId="3" fontId="33" fillId="8" borderId="0" xfId="0" applyNumberFormat="1" applyFont="1" applyFill="1"/>
    <xf numFmtId="3" fontId="37" fillId="8" borderId="0" xfId="0" applyNumberFormat="1" applyFont="1" applyFill="1"/>
    <xf numFmtId="3" fontId="41" fillId="8" borderId="0" xfId="0" applyNumberFormat="1" applyFont="1" applyFill="1" applyAlignment="1">
      <alignment horizontal="center"/>
    </xf>
    <xf numFmtId="3" fontId="42" fillId="8" borderId="0" xfId="0" applyNumberFormat="1" applyFont="1" applyFill="1" applyAlignment="1">
      <alignment horizontal="center"/>
    </xf>
    <xf numFmtId="49" fontId="41" fillId="8" borderId="0" xfId="0" applyNumberFormat="1" applyFont="1" applyFill="1"/>
    <xf numFmtId="0" fontId="33" fillId="8" borderId="0" xfId="0" applyFont="1" applyFill="1"/>
    <xf numFmtId="3" fontId="35" fillId="8" borderId="0" xfId="0" applyNumberFormat="1" applyFont="1" applyFill="1" applyAlignment="1">
      <alignment horizontal="center"/>
    </xf>
    <xf numFmtId="0" fontId="96" fillId="0" borderId="14" xfId="0" applyFont="1" applyBorder="1" applyAlignment="1">
      <alignment horizontal="right"/>
    </xf>
    <xf numFmtId="3" fontId="96" fillId="0" borderId="43" xfId="0" applyNumberFormat="1" applyFont="1" applyBorder="1"/>
    <xf numFmtId="0" fontId="96" fillId="0" borderId="14" xfId="0" applyFont="1" applyBorder="1" applyAlignment="1">
      <alignment horizontal="right" wrapText="1"/>
    </xf>
    <xf numFmtId="3" fontId="66" fillId="0" borderId="0" xfId="0" applyNumberFormat="1" applyFont="1" applyAlignment="1">
      <alignment horizontal="center" vertical="center" wrapText="1"/>
    </xf>
    <xf numFmtId="3" fontId="44" fillId="8" borderId="0" xfId="0" applyNumberFormat="1" applyFont="1" applyFill="1" applyAlignment="1">
      <alignment horizontal="center"/>
    </xf>
    <xf numFmtId="3" fontId="45" fillId="8" borderId="0" xfId="0" applyNumberFormat="1" applyFont="1" applyFill="1" applyAlignment="1">
      <alignment horizontal="center"/>
    </xf>
    <xf numFmtId="0" fontId="100" fillId="5" borderId="0" xfId="0" applyFont="1" applyFill="1"/>
    <xf numFmtId="0" fontId="0" fillId="5" borderId="0" xfId="0" applyFill="1"/>
    <xf numFmtId="0" fontId="101" fillId="5" borderId="0" xfId="0" applyFont="1" applyFill="1"/>
    <xf numFmtId="0" fontId="102" fillId="5" borderId="0" xfId="0" applyFont="1" applyFill="1"/>
    <xf numFmtId="0" fontId="0" fillId="13" borderId="0" xfId="0" applyFill="1"/>
    <xf numFmtId="0" fontId="13" fillId="13" borderId="0" xfId="0" applyFont="1" applyFill="1" applyAlignment="1">
      <alignment horizontal="center"/>
    </xf>
    <xf numFmtId="0" fontId="13" fillId="13" borderId="0" xfId="0" applyFont="1" applyFill="1"/>
    <xf numFmtId="0" fontId="13" fillId="5" borderId="5" xfId="0" applyFont="1" applyFill="1" applyBorder="1"/>
    <xf numFmtId="0" fontId="13" fillId="5" borderId="5" xfId="0" applyFont="1" applyFill="1" applyBorder="1" applyAlignment="1">
      <alignment horizontal="center"/>
    </xf>
    <xf numFmtId="0" fontId="13" fillId="5" borderId="56" xfId="0" applyFont="1" applyFill="1" applyBorder="1"/>
    <xf numFmtId="0" fontId="13" fillId="5" borderId="0" xfId="0" applyFont="1" applyFill="1"/>
    <xf numFmtId="0" fontId="103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4" fillId="5" borderId="0" xfId="0" applyNumberFormat="1" applyFont="1" applyFill="1" applyAlignment="1">
      <alignment horizontal="left" vertical="center"/>
    </xf>
    <xf numFmtId="0" fontId="13" fillId="5" borderId="1" xfId="0" applyFont="1" applyFill="1" applyBorder="1"/>
    <xf numFmtId="0" fontId="13" fillId="5" borderId="3" xfId="0" applyFont="1" applyFill="1" applyBorder="1"/>
    <xf numFmtId="0" fontId="13" fillId="5" borderId="22" xfId="0" applyFont="1" applyFill="1" applyBorder="1"/>
    <xf numFmtId="0" fontId="13" fillId="5" borderId="0" xfId="0" applyFont="1" applyFill="1" applyAlignment="1">
      <alignment horizontal="center"/>
    </xf>
    <xf numFmtId="0" fontId="103" fillId="5" borderId="0" xfId="0" applyFont="1" applyFill="1" applyAlignment="1">
      <alignment horizontal="right"/>
    </xf>
    <xf numFmtId="169" fontId="103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3" fillId="5" borderId="0" xfId="0" applyNumberFormat="1" applyFont="1" applyFill="1" applyAlignment="1">
      <alignment horizontal="right"/>
    </xf>
    <xf numFmtId="0" fontId="21" fillId="5" borderId="0" xfId="0" applyFont="1" applyFill="1"/>
    <xf numFmtId="0" fontId="105" fillId="5" borderId="0" xfId="0" applyFont="1" applyFill="1"/>
    <xf numFmtId="0" fontId="13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1" fillId="0" borderId="43" xfId="0" applyNumberFormat="1" applyFont="1" applyBorder="1"/>
    <xf numFmtId="49" fontId="37" fillId="0" borderId="0" xfId="0" applyNumberFormat="1" applyFont="1"/>
    <xf numFmtId="0" fontId="35" fillId="0" borderId="49" xfId="0" applyFont="1" applyBorder="1" applyAlignment="1">
      <alignment horizontal="center" vertical="center"/>
    </xf>
    <xf numFmtId="0" fontId="35" fillId="0" borderId="72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35" fillId="4" borderId="50" xfId="0" applyFont="1" applyFill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 wrapText="1"/>
    </xf>
    <xf numFmtId="3" fontId="35" fillId="0" borderId="59" xfId="0" applyNumberFormat="1" applyFont="1" applyBorder="1" applyAlignment="1">
      <alignment horizontal="center"/>
    </xf>
    <xf numFmtId="49" fontId="41" fillId="0" borderId="31" xfId="0" applyNumberFormat="1" applyFont="1" applyBorder="1"/>
    <xf numFmtId="3" fontId="35" fillId="8" borderId="92" xfId="0" applyNumberFormat="1" applyFont="1" applyFill="1" applyBorder="1"/>
    <xf numFmtId="3" fontId="37" fillId="0" borderId="10" xfId="0" applyNumberFormat="1" applyFont="1" applyBorder="1"/>
    <xf numFmtId="3" fontId="37" fillId="0" borderId="11" xfId="0" applyNumberFormat="1" applyFont="1" applyBorder="1"/>
    <xf numFmtId="3" fontId="96" fillId="0" borderId="11" xfId="0" applyNumberFormat="1" applyFont="1" applyBorder="1"/>
    <xf numFmtId="3" fontId="35" fillId="8" borderId="93" xfId="0" applyNumberFormat="1" applyFont="1" applyFill="1" applyBorder="1"/>
    <xf numFmtId="3" fontId="37" fillId="0" borderId="59" xfId="0" applyNumberFormat="1" applyFont="1" applyBorder="1"/>
    <xf numFmtId="3" fontId="37" fillId="0" borderId="39" xfId="0" applyNumberFormat="1" applyFont="1" applyBorder="1"/>
    <xf numFmtId="9" fontId="33" fillId="0" borderId="59" xfId="8" applyFont="1" applyBorder="1"/>
    <xf numFmtId="9" fontId="33" fillId="0" borderId="0" xfId="8" applyFont="1" applyBorder="1"/>
    <xf numFmtId="9" fontId="33" fillId="0" borderId="39" xfId="8" applyFont="1" applyBorder="1"/>
    <xf numFmtId="3" fontId="35" fillId="4" borderId="3" xfId="0" applyNumberFormat="1" applyFont="1" applyFill="1" applyBorder="1" applyAlignment="1">
      <alignment horizontal="center" vertical="center" wrapText="1"/>
    </xf>
    <xf numFmtId="3" fontId="35" fillId="8" borderId="3" xfId="0" applyNumberFormat="1" applyFont="1" applyFill="1" applyBorder="1"/>
    <xf numFmtId="3" fontId="35" fillId="8" borderId="94" xfId="0" applyNumberFormat="1" applyFont="1" applyFill="1" applyBorder="1"/>
    <xf numFmtId="3" fontId="33" fillId="0" borderId="10" xfId="0" applyNumberFormat="1" applyFont="1" applyBorder="1" applyAlignment="1">
      <alignment vertical="center"/>
    </xf>
    <xf numFmtId="3" fontId="33" fillId="0" borderId="11" xfId="0" applyNumberFormat="1" applyFont="1" applyBorder="1" applyAlignment="1">
      <alignment vertical="center"/>
    </xf>
    <xf numFmtId="3" fontId="33" fillId="0" borderId="36" xfId="0" applyNumberFormat="1" applyFont="1" applyBorder="1"/>
    <xf numFmtId="0" fontId="106" fillId="22" borderId="23" xfId="0" applyFont="1" applyFill="1" applyBorder="1"/>
    <xf numFmtId="0" fontId="106" fillId="22" borderId="25" xfId="0" applyFont="1" applyFill="1" applyBorder="1" applyAlignment="1">
      <alignment horizontal="right" indent="5"/>
    </xf>
    <xf numFmtId="169" fontId="106" fillId="22" borderId="25" xfId="0" applyNumberFormat="1" applyFont="1" applyFill="1" applyBorder="1" applyAlignment="1">
      <alignment horizontal="right" indent="1"/>
    </xf>
    <xf numFmtId="0" fontId="106" fillId="22" borderId="25" xfId="0" applyFont="1" applyFill="1" applyBorder="1"/>
    <xf numFmtId="0" fontId="106" fillId="22" borderId="25" xfId="0" applyFont="1" applyFill="1" applyBorder="1" applyAlignment="1">
      <alignment horizontal="center"/>
    </xf>
    <xf numFmtId="0" fontId="106" fillId="22" borderId="27" xfId="0" applyFont="1" applyFill="1" applyBorder="1"/>
    <xf numFmtId="0" fontId="106" fillId="22" borderId="23" xfId="0" applyFont="1" applyFill="1" applyBorder="1" applyAlignment="1">
      <alignment wrapText="1"/>
    </xf>
    <xf numFmtId="0" fontId="106" fillId="22" borderId="14" xfId="0" applyFont="1" applyFill="1" applyBorder="1"/>
    <xf numFmtId="0" fontId="107" fillId="22" borderId="25" xfId="0" applyFont="1" applyFill="1" applyBorder="1" applyAlignment="1">
      <alignment horizontal="center"/>
    </xf>
    <xf numFmtId="0" fontId="106" fillId="22" borderId="27" xfId="0" applyFont="1" applyFill="1" applyBorder="1" applyAlignment="1">
      <alignment horizontal="center"/>
    </xf>
    <xf numFmtId="0" fontId="106" fillId="22" borderId="25" xfId="0" applyFont="1" applyFill="1" applyBorder="1" applyAlignment="1">
      <alignment horizontal="left"/>
    </xf>
    <xf numFmtId="0" fontId="106" fillId="22" borderId="19" xfId="0" applyFont="1" applyFill="1" applyBorder="1"/>
    <xf numFmtId="0" fontId="106" fillId="22" borderId="14" xfId="0" applyFont="1" applyFill="1" applyBorder="1" applyAlignment="1">
      <alignment horizontal="right" indent="5"/>
    </xf>
    <xf numFmtId="0" fontId="106" fillId="22" borderId="14" xfId="0" applyFont="1" applyFill="1" applyBorder="1" applyAlignment="1">
      <alignment horizontal="center"/>
    </xf>
    <xf numFmtId="0" fontId="107" fillId="22" borderId="14" xfId="0" applyFont="1" applyFill="1" applyBorder="1" applyAlignment="1">
      <alignment horizontal="center"/>
    </xf>
    <xf numFmtId="0" fontId="106" fillId="22" borderId="43" xfId="0" applyFont="1" applyFill="1" applyBorder="1" applyAlignment="1">
      <alignment horizontal="center"/>
    </xf>
    <xf numFmtId="0" fontId="106" fillId="22" borderId="43" xfId="0" applyFont="1" applyFill="1" applyBorder="1"/>
    <xf numFmtId="0" fontId="106" fillId="22" borderId="24" xfId="0" applyFont="1" applyFill="1" applyBorder="1" applyAlignment="1">
      <alignment horizontal="right" indent="5"/>
    </xf>
    <xf numFmtId="169" fontId="106" fillId="22" borderId="14" xfId="0" applyNumberFormat="1" applyFont="1" applyFill="1" applyBorder="1" applyAlignment="1">
      <alignment horizontal="right" indent="1"/>
    </xf>
    <xf numFmtId="169" fontId="106" fillId="22" borderId="38" xfId="0" applyNumberFormat="1" applyFont="1" applyFill="1" applyBorder="1" applyAlignment="1">
      <alignment horizontal="right" indent="1"/>
    </xf>
    <xf numFmtId="0" fontId="106" fillId="22" borderId="24" xfId="0" applyFont="1" applyFill="1" applyBorder="1" applyAlignment="1">
      <alignment horizontal="center"/>
    </xf>
    <xf numFmtId="0" fontId="107" fillId="22" borderId="24" xfId="0" applyFont="1" applyFill="1" applyBorder="1" applyAlignment="1">
      <alignment horizontal="center"/>
    </xf>
    <xf numFmtId="0" fontId="106" fillId="22" borderId="24" xfId="0" applyFont="1" applyFill="1" applyBorder="1"/>
    <xf numFmtId="0" fontId="106" fillId="22" borderId="40" xfId="0" applyFont="1" applyFill="1" applyBorder="1"/>
    <xf numFmtId="0" fontId="106" fillId="22" borderId="37" xfId="0" applyFont="1" applyFill="1" applyBorder="1" applyAlignment="1">
      <alignment horizontal="right" indent="5"/>
    </xf>
    <xf numFmtId="169" fontId="106" fillId="22" borderId="37" xfId="0" applyNumberFormat="1" applyFont="1" applyFill="1" applyBorder="1" applyAlignment="1">
      <alignment horizontal="right" indent="1"/>
    </xf>
    <xf numFmtId="169" fontId="106" fillId="22" borderId="51" xfId="0" applyNumberFormat="1" applyFont="1" applyFill="1" applyBorder="1" applyAlignment="1">
      <alignment horizontal="right" indent="1"/>
    </xf>
    <xf numFmtId="0" fontId="106" fillId="22" borderId="37" xfId="0" applyFont="1" applyFill="1" applyBorder="1"/>
    <xf numFmtId="0" fontId="106" fillId="22" borderId="37" xfId="0" applyFont="1" applyFill="1" applyBorder="1" applyAlignment="1">
      <alignment horizontal="center"/>
    </xf>
    <xf numFmtId="0" fontId="107" fillId="22" borderId="37" xfId="0" applyFont="1" applyFill="1" applyBorder="1" applyAlignment="1">
      <alignment horizontal="center"/>
    </xf>
    <xf numFmtId="0" fontId="106" fillId="22" borderId="33" xfId="0" applyFont="1" applyFill="1" applyBorder="1" applyAlignment="1">
      <alignment horizontal="center"/>
    </xf>
    <xf numFmtId="0" fontId="106" fillId="22" borderId="33" xfId="0" applyFont="1" applyFill="1" applyBorder="1"/>
    <xf numFmtId="0" fontId="106" fillId="5" borderId="0" xfId="0" applyFont="1" applyFill="1"/>
    <xf numFmtId="0" fontId="107" fillId="5" borderId="0" xfId="0" applyFont="1" applyFill="1"/>
    <xf numFmtId="3" fontId="106" fillId="5" borderId="0" xfId="0" applyNumberFormat="1" applyFont="1" applyFill="1" applyAlignment="1">
      <alignment horizontal="right" indent="5"/>
    </xf>
    <xf numFmtId="169" fontId="106" fillId="5" borderId="0" xfId="0" applyNumberFormat="1" applyFont="1" applyFill="1"/>
    <xf numFmtId="0" fontId="107" fillId="5" borderId="1" xfId="0" applyFont="1" applyFill="1" applyBorder="1"/>
    <xf numFmtId="0" fontId="107" fillId="5" borderId="56" xfId="0" applyFont="1" applyFill="1" applyBorder="1"/>
    <xf numFmtId="0" fontId="107" fillId="5" borderId="5" xfId="0" applyFont="1" applyFill="1" applyBorder="1"/>
    <xf numFmtId="0" fontId="106" fillId="35" borderId="18" xfId="0" applyFont="1" applyFill="1" applyBorder="1"/>
    <xf numFmtId="0" fontId="106" fillId="35" borderId="60" xfId="0" applyFont="1" applyFill="1" applyBorder="1" applyAlignment="1">
      <alignment horizontal="right" indent="5"/>
    </xf>
    <xf numFmtId="169" fontId="106" fillId="35" borderId="23" xfId="0" applyNumberFormat="1" applyFont="1" applyFill="1" applyBorder="1" applyAlignment="1">
      <alignment horizontal="right" indent="1"/>
    </xf>
    <xf numFmtId="169" fontId="106" fillId="35" borderId="25" xfId="0" applyNumberFormat="1" applyFont="1" applyFill="1" applyBorder="1" applyAlignment="1">
      <alignment horizontal="right" indent="1"/>
    </xf>
    <xf numFmtId="169" fontId="106" fillId="35" borderId="14" xfId="0" applyNumberFormat="1" applyFont="1" applyFill="1" applyBorder="1" applyAlignment="1">
      <alignment horizontal="right" indent="1"/>
    </xf>
    <xf numFmtId="0" fontId="106" fillId="35" borderId="25" xfId="0" applyFont="1" applyFill="1" applyBorder="1"/>
    <xf numFmtId="0" fontId="106" fillId="35" borderId="27" xfId="0" applyFont="1" applyFill="1" applyBorder="1"/>
    <xf numFmtId="0" fontId="108" fillId="5" borderId="0" xfId="0" applyFont="1" applyFill="1"/>
    <xf numFmtId="0" fontId="106" fillId="35" borderId="23" xfId="0" applyFont="1" applyFill="1" applyBorder="1"/>
    <xf numFmtId="0" fontId="106" fillId="35" borderId="27" xfId="0" applyFont="1" applyFill="1" applyBorder="1" applyAlignment="1">
      <alignment horizontal="right" indent="5"/>
    </xf>
    <xf numFmtId="0" fontId="106" fillId="0" borderId="0" xfId="0" applyFont="1"/>
    <xf numFmtId="0" fontId="106" fillId="35" borderId="14" xfId="0" applyFont="1" applyFill="1" applyBorder="1"/>
    <xf numFmtId="0" fontId="106" fillId="35" borderId="14" xfId="0" applyFont="1" applyFill="1" applyBorder="1" applyAlignment="1">
      <alignment horizontal="right" indent="5"/>
    </xf>
    <xf numFmtId="0" fontId="107" fillId="5" borderId="3" xfId="0" applyFont="1" applyFill="1" applyBorder="1"/>
    <xf numFmtId="0" fontId="107" fillId="5" borderId="22" xfId="0" applyFont="1" applyFill="1" applyBorder="1"/>
    <xf numFmtId="0" fontId="106" fillId="20" borderId="10" xfId="0" applyFont="1" applyFill="1" applyBorder="1"/>
    <xf numFmtId="169" fontId="106" fillId="20" borderId="19" xfId="0" applyNumberFormat="1" applyFont="1" applyFill="1" applyBorder="1" applyAlignment="1">
      <alignment horizontal="right" indent="1"/>
    </xf>
    <xf numFmtId="169" fontId="106" fillId="20" borderId="42" xfId="0" applyNumberFormat="1" applyFont="1" applyFill="1" applyBorder="1" applyAlignment="1">
      <alignment horizontal="right" indent="1"/>
    </xf>
    <xf numFmtId="169" fontId="106" fillId="20" borderId="25" xfId="0" applyNumberFormat="1" applyFont="1" applyFill="1" applyBorder="1" applyAlignment="1">
      <alignment horizontal="right" indent="1"/>
    </xf>
    <xf numFmtId="0" fontId="106" fillId="20" borderId="25" xfId="0" applyFont="1" applyFill="1" applyBorder="1"/>
    <xf numFmtId="0" fontId="106" fillId="20" borderId="14" xfId="0" applyFont="1" applyFill="1" applyBorder="1"/>
    <xf numFmtId="0" fontId="106" fillId="20" borderId="27" xfId="0" applyFont="1" applyFill="1" applyBorder="1"/>
    <xf numFmtId="0" fontId="106" fillId="20" borderId="34" xfId="0" applyFont="1" applyFill="1" applyBorder="1"/>
    <xf numFmtId="169" fontId="106" fillId="20" borderId="40" xfId="0" applyNumberFormat="1" applyFont="1" applyFill="1" applyBorder="1" applyAlignment="1">
      <alignment horizontal="right" indent="1"/>
    </xf>
    <xf numFmtId="169" fontId="106" fillId="20" borderId="48" xfId="0" applyNumberFormat="1" applyFont="1" applyFill="1" applyBorder="1" applyAlignment="1">
      <alignment horizontal="right" indent="1"/>
    </xf>
    <xf numFmtId="169" fontId="106" fillId="20" borderId="37" xfId="0" applyNumberFormat="1" applyFont="1" applyFill="1" applyBorder="1" applyAlignment="1">
      <alignment horizontal="right" indent="1"/>
    </xf>
    <xf numFmtId="0" fontId="106" fillId="20" borderId="37" xfId="0" applyFont="1" applyFill="1" applyBorder="1"/>
    <xf numFmtId="0" fontId="106" fillId="20" borderId="51" xfId="0" applyFont="1" applyFill="1" applyBorder="1"/>
    <xf numFmtId="0" fontId="106" fillId="20" borderId="28" xfId="0" applyFont="1" applyFill="1" applyBorder="1"/>
    <xf numFmtId="0" fontId="106" fillId="28" borderId="10" xfId="0" applyFont="1" applyFill="1" applyBorder="1"/>
    <xf numFmtId="169" fontId="106" fillId="28" borderId="23" xfId="0" applyNumberFormat="1" applyFont="1" applyFill="1" applyBorder="1" applyAlignment="1">
      <alignment horizontal="right" indent="1"/>
    </xf>
    <xf numFmtId="169" fontId="106" fillId="28" borderId="42" xfId="0" applyNumberFormat="1" applyFont="1" applyFill="1" applyBorder="1" applyAlignment="1">
      <alignment horizontal="right" indent="1"/>
    </xf>
    <xf numFmtId="169" fontId="106" fillId="28" borderId="25" xfId="0" applyNumberFormat="1" applyFont="1" applyFill="1" applyBorder="1" applyAlignment="1">
      <alignment horizontal="right" indent="1"/>
    </xf>
    <xf numFmtId="0" fontId="106" fillId="28" borderId="27" xfId="0" applyFont="1" applyFill="1" applyBorder="1"/>
    <xf numFmtId="0" fontId="106" fillId="28" borderId="25" xfId="0" applyFont="1" applyFill="1" applyBorder="1"/>
    <xf numFmtId="169" fontId="106" fillId="28" borderId="19" xfId="0" applyNumberFormat="1" applyFont="1" applyFill="1" applyBorder="1" applyAlignment="1">
      <alignment horizontal="right" indent="1"/>
    </xf>
    <xf numFmtId="169" fontId="106" fillId="28" borderId="21" xfId="0" applyNumberFormat="1" applyFont="1" applyFill="1" applyBorder="1" applyAlignment="1">
      <alignment horizontal="right" indent="1"/>
    </xf>
    <xf numFmtId="169" fontId="106" fillId="28" borderId="14" xfId="0" applyNumberFormat="1" applyFont="1" applyFill="1" applyBorder="1" applyAlignment="1">
      <alignment horizontal="right" indent="1"/>
    </xf>
    <xf numFmtId="0" fontId="106" fillId="28" borderId="43" xfId="0" applyFont="1" applyFill="1" applyBorder="1"/>
    <xf numFmtId="0" fontId="106" fillId="28" borderId="34" xfId="0" applyFont="1" applyFill="1" applyBorder="1"/>
    <xf numFmtId="169" fontId="106" fillId="28" borderId="54" xfId="0" applyNumberFormat="1" applyFont="1" applyFill="1" applyBorder="1" applyAlignment="1">
      <alignment horizontal="right" indent="1"/>
    </xf>
    <xf numFmtId="169" fontId="106" fillId="28" borderId="55" xfId="0" applyNumberFormat="1" applyFont="1" applyFill="1" applyBorder="1" applyAlignment="1">
      <alignment horizontal="right" indent="1"/>
    </xf>
    <xf numFmtId="169" fontId="106" fillId="28" borderId="51" xfId="0" applyNumberFormat="1" applyFont="1" applyFill="1" applyBorder="1" applyAlignment="1">
      <alignment horizontal="right" indent="1"/>
    </xf>
    <xf numFmtId="0" fontId="106" fillId="28" borderId="28" xfId="0" applyFont="1" applyFill="1" applyBorder="1"/>
    <xf numFmtId="0" fontId="106" fillId="8" borderId="10" xfId="0" applyFont="1" applyFill="1" applyBorder="1"/>
    <xf numFmtId="169" fontId="106" fillId="8" borderId="23" xfId="0" applyNumberFormat="1" applyFont="1" applyFill="1" applyBorder="1" applyAlignment="1">
      <alignment horizontal="right" indent="1"/>
    </xf>
    <xf numFmtId="169" fontId="106" fillId="8" borderId="42" xfId="0" applyNumberFormat="1" applyFont="1" applyFill="1" applyBorder="1" applyAlignment="1">
      <alignment horizontal="right" indent="1"/>
    </xf>
    <xf numFmtId="169" fontId="106" fillId="8" borderId="25" xfId="0" applyNumberFormat="1" applyFont="1" applyFill="1" applyBorder="1" applyAlignment="1">
      <alignment horizontal="right" indent="1"/>
    </xf>
    <xf numFmtId="0" fontId="106" fillId="8" borderId="27" xfId="0" applyFont="1" applyFill="1" applyBorder="1"/>
    <xf numFmtId="0" fontId="106" fillId="8" borderId="25" xfId="0" applyFont="1" applyFill="1" applyBorder="1"/>
    <xf numFmtId="0" fontId="106" fillId="8" borderId="14" xfId="0" applyFont="1" applyFill="1" applyBorder="1"/>
    <xf numFmtId="169" fontId="106" fillId="8" borderId="14" xfId="0" applyNumberFormat="1" applyFont="1" applyFill="1" applyBorder="1" applyAlignment="1">
      <alignment horizontal="right" indent="1"/>
    </xf>
    <xf numFmtId="0" fontId="107" fillId="5" borderId="0" xfId="0" applyFont="1" applyFill="1" applyAlignment="1">
      <alignment horizontal="center"/>
    </xf>
    <xf numFmtId="0" fontId="108" fillId="5" borderId="0" xfId="0" applyFont="1" applyFill="1" applyAlignment="1">
      <alignment horizontal="right"/>
    </xf>
    <xf numFmtId="169" fontId="108" fillId="5" borderId="0" xfId="0" applyNumberFormat="1" applyFont="1" applyFill="1"/>
    <xf numFmtId="169" fontId="107" fillId="5" borderId="0" xfId="0" applyNumberFormat="1" applyFont="1" applyFill="1"/>
    <xf numFmtId="0" fontId="109" fillId="5" borderId="0" xfId="0" applyFont="1" applyFill="1"/>
    <xf numFmtId="6" fontId="109" fillId="5" borderId="0" xfId="0" applyNumberFormat="1" applyFont="1" applyFill="1"/>
    <xf numFmtId="6" fontId="106" fillId="5" borderId="0" xfId="0" applyNumberFormat="1" applyFont="1" applyFill="1"/>
    <xf numFmtId="0" fontId="106" fillId="4" borderId="0" xfId="0" applyFont="1" applyFill="1"/>
    <xf numFmtId="169" fontId="106" fillId="4" borderId="0" xfId="0" applyNumberFormat="1" applyFont="1" applyFill="1"/>
    <xf numFmtId="0" fontId="109" fillId="4" borderId="0" xfId="0" applyFont="1" applyFill="1"/>
    <xf numFmtId="6" fontId="109" fillId="4" borderId="0" xfId="0" applyNumberFormat="1" applyFont="1" applyFill="1"/>
    <xf numFmtId="0" fontId="108" fillId="4" borderId="0" xfId="0" applyFont="1" applyFill="1" applyAlignment="1">
      <alignment horizontal="right"/>
    </xf>
    <xf numFmtId="169" fontId="108" fillId="4" borderId="0" xfId="0" applyNumberFormat="1" applyFont="1" applyFill="1"/>
    <xf numFmtId="0" fontId="107" fillId="4" borderId="0" xfId="0" applyFont="1" applyFill="1"/>
    <xf numFmtId="0" fontId="110" fillId="5" borderId="0" xfId="0" applyFont="1" applyFill="1"/>
    <xf numFmtId="0" fontId="111" fillId="5" borderId="0" xfId="0" applyFont="1" applyFill="1"/>
    <xf numFmtId="0" fontId="111" fillId="5" borderId="63" xfId="0" applyFont="1" applyFill="1" applyBorder="1"/>
    <xf numFmtId="0" fontId="107" fillId="5" borderId="64" xfId="0" applyFont="1" applyFill="1" applyBorder="1"/>
    <xf numFmtId="0" fontId="107" fillId="5" borderId="64" xfId="0" applyFont="1" applyFill="1" applyBorder="1" applyAlignment="1">
      <alignment horizontal="center"/>
    </xf>
    <xf numFmtId="0" fontId="107" fillId="5" borderId="67" xfId="0" applyFont="1" applyFill="1" applyBorder="1"/>
    <xf numFmtId="0" fontId="108" fillId="5" borderId="0" xfId="0" applyFont="1" applyFill="1" applyAlignment="1">
      <alignment horizontal="left" indent="8"/>
    </xf>
    <xf numFmtId="169" fontId="106" fillId="35" borderId="54" xfId="0" applyNumberFormat="1" applyFont="1" applyFill="1" applyBorder="1" applyAlignment="1">
      <alignment horizontal="right" indent="1"/>
    </xf>
    <xf numFmtId="169" fontId="106" fillId="35" borderId="51" xfId="0" applyNumberFormat="1" applyFont="1" applyFill="1" applyBorder="1" applyAlignment="1">
      <alignment horizontal="right" indent="1"/>
    </xf>
    <xf numFmtId="169" fontId="112" fillId="5" borderId="0" xfId="0" applyNumberFormat="1" applyFont="1" applyFill="1"/>
    <xf numFmtId="0" fontId="106" fillId="28" borderId="70" xfId="0" applyFont="1" applyFill="1" applyBorder="1"/>
    <xf numFmtId="0" fontId="106" fillId="28" borderId="14" xfId="0" applyFont="1" applyFill="1" applyBorder="1"/>
    <xf numFmtId="0" fontId="107" fillId="5" borderId="77" xfId="0" applyFont="1" applyFill="1" applyBorder="1"/>
    <xf numFmtId="0" fontId="107" fillId="5" borderId="95" xfId="0" applyFont="1" applyFill="1" applyBorder="1"/>
    <xf numFmtId="0" fontId="107" fillId="5" borderId="78" xfId="0" applyFont="1" applyFill="1" applyBorder="1"/>
    <xf numFmtId="0" fontId="107" fillId="5" borderId="79" xfId="0" applyFont="1" applyFill="1" applyBorder="1"/>
    <xf numFmtId="0" fontId="106" fillId="8" borderId="21" xfId="0" applyFont="1" applyFill="1" applyBorder="1"/>
    <xf numFmtId="169" fontId="106" fillId="8" borderId="19" xfId="0" applyNumberFormat="1" applyFont="1" applyFill="1" applyBorder="1" applyAlignment="1">
      <alignment horizontal="right" indent="1"/>
    </xf>
    <xf numFmtId="169" fontId="106" fillId="8" borderId="21" xfId="0" applyNumberFormat="1" applyFont="1" applyFill="1" applyBorder="1" applyAlignment="1">
      <alignment horizontal="right" indent="1"/>
    </xf>
    <xf numFmtId="0" fontId="106" fillId="8" borderId="43" xfId="0" applyFont="1" applyFill="1" applyBorder="1"/>
    <xf numFmtId="0" fontId="106" fillId="8" borderId="53" xfId="0" applyFont="1" applyFill="1" applyBorder="1"/>
    <xf numFmtId="169" fontId="106" fillId="8" borderId="54" xfId="0" applyNumberFormat="1" applyFont="1" applyFill="1" applyBorder="1" applyAlignment="1">
      <alignment horizontal="right" indent="1"/>
    </xf>
    <xf numFmtId="169" fontId="106" fillId="8" borderId="55" xfId="0" applyNumberFormat="1" applyFont="1" applyFill="1" applyBorder="1" applyAlignment="1">
      <alignment horizontal="right" indent="1"/>
    </xf>
    <xf numFmtId="169" fontId="106" fillId="8" borderId="51" xfId="0" applyNumberFormat="1" applyFont="1" applyFill="1" applyBorder="1" applyAlignment="1">
      <alignment horizontal="right" indent="1"/>
    </xf>
    <xf numFmtId="0" fontId="106" fillId="8" borderId="28" xfId="0" applyFont="1" applyFill="1" applyBorder="1"/>
    <xf numFmtId="0" fontId="106" fillId="8" borderId="51" xfId="0" applyFont="1" applyFill="1" applyBorder="1"/>
    <xf numFmtId="169" fontId="106" fillId="0" borderId="0" xfId="0" applyNumberFormat="1" applyFont="1" applyAlignment="1">
      <alignment horizontal="right" indent="1"/>
    </xf>
    <xf numFmtId="0" fontId="106" fillId="8" borderId="42" xfId="0" applyFont="1" applyFill="1" applyBorder="1"/>
    <xf numFmtId="0" fontId="106" fillId="8" borderId="55" xfId="0" applyFont="1" applyFill="1" applyBorder="1"/>
    <xf numFmtId="169" fontId="105" fillId="4" borderId="0" xfId="0" applyNumberFormat="1" applyFont="1" applyFill="1"/>
    <xf numFmtId="0" fontId="13" fillId="5" borderId="6" xfId="0" applyFont="1" applyFill="1" applyBorder="1"/>
    <xf numFmtId="0" fontId="106" fillId="22" borderId="7" xfId="0" applyFont="1" applyFill="1" applyBorder="1"/>
    <xf numFmtId="0" fontId="106" fillId="22" borderId="8" xfId="0" applyFont="1" applyFill="1" applyBorder="1"/>
    <xf numFmtId="0" fontId="106" fillId="22" borderId="9" xfId="0" applyFont="1" applyFill="1" applyBorder="1"/>
    <xf numFmtId="0" fontId="106" fillId="22" borderId="35" xfId="0" applyFont="1" applyFill="1" applyBorder="1"/>
    <xf numFmtId="0" fontId="106" fillId="22" borderId="23" xfId="0" applyFont="1" applyFill="1" applyBorder="1" applyAlignment="1">
      <alignment horizontal="right" indent="5"/>
    </xf>
    <xf numFmtId="0" fontId="106" fillId="22" borderId="19" xfId="0" applyFont="1" applyFill="1" applyBorder="1" applyAlignment="1">
      <alignment horizontal="right" indent="5"/>
    </xf>
    <xf numFmtId="0" fontId="106" fillId="22" borderId="29" xfId="0" applyFont="1" applyFill="1" applyBorder="1" applyAlignment="1">
      <alignment horizontal="right" indent="5"/>
    </xf>
    <xf numFmtId="0" fontId="106" fillId="22" borderId="66" xfId="0" applyFont="1" applyFill="1" applyBorder="1" applyAlignment="1">
      <alignment horizontal="center"/>
    </xf>
    <xf numFmtId="0" fontId="106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6" fillId="22" borderId="10" xfId="0" applyFont="1" applyFill="1" applyBorder="1"/>
    <xf numFmtId="0" fontId="106" fillId="22" borderId="10" xfId="0" applyFont="1" applyFill="1" applyBorder="1" applyAlignment="1">
      <alignment wrapText="1"/>
    </xf>
    <xf numFmtId="0" fontId="106" fillId="22" borderId="11" xfId="0" applyFont="1" applyFill="1" applyBorder="1"/>
    <xf numFmtId="0" fontId="106" fillId="22" borderId="12" xfId="0" applyFont="1" applyFill="1" applyBorder="1"/>
    <xf numFmtId="0" fontId="106" fillId="22" borderId="34" xfId="0" applyFont="1" applyFill="1" applyBorder="1"/>
    <xf numFmtId="0" fontId="106" fillId="35" borderId="70" xfId="0" applyFont="1" applyFill="1" applyBorder="1"/>
    <xf numFmtId="3" fontId="106" fillId="35" borderId="53" xfId="0" applyNumberFormat="1" applyFont="1" applyFill="1" applyBorder="1" applyAlignment="1">
      <alignment horizontal="right" indent="5"/>
    </xf>
    <xf numFmtId="0" fontId="106" fillId="35" borderId="21" xfId="0" applyFont="1" applyFill="1" applyBorder="1"/>
    <xf numFmtId="0" fontId="106" fillId="35" borderId="28" xfId="0" applyFont="1" applyFill="1" applyBorder="1"/>
    <xf numFmtId="3" fontId="64" fillId="0" borderId="0" xfId="0" applyNumberFormat="1" applyFont="1"/>
    <xf numFmtId="3" fontId="64" fillId="0" borderId="0" xfId="0" applyNumberFormat="1" applyFont="1" applyAlignment="1">
      <alignment horizontal="center"/>
    </xf>
    <xf numFmtId="3" fontId="113" fillId="0" borderId="0" xfId="0" applyNumberFormat="1" applyFont="1"/>
    <xf numFmtId="3" fontId="114" fillId="0" borderId="0" xfId="0" applyNumberFormat="1" applyFont="1"/>
    <xf numFmtId="3" fontId="63" fillId="0" borderId="0" xfId="0" applyNumberFormat="1" applyFont="1"/>
    <xf numFmtId="3" fontId="115" fillId="0" borderId="0" xfId="0" applyNumberFormat="1" applyFont="1"/>
    <xf numFmtId="3" fontId="62" fillId="0" borderId="0" xfId="0" applyNumberFormat="1" applyFont="1"/>
    <xf numFmtId="3" fontId="113" fillId="0" borderId="0" xfId="0" applyNumberFormat="1" applyFont="1" applyAlignment="1">
      <alignment horizontal="center"/>
    </xf>
    <xf numFmtId="3" fontId="113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right"/>
    </xf>
    <xf numFmtId="3" fontId="116" fillId="0" borderId="0" xfId="0" applyNumberFormat="1" applyFont="1" applyAlignment="1">
      <alignment horizontal="center"/>
    </xf>
    <xf numFmtId="3" fontId="117" fillId="0" borderId="0" xfId="0" applyNumberFormat="1" applyFont="1" applyAlignment="1">
      <alignment horizontal="center"/>
    </xf>
    <xf numFmtId="4" fontId="116" fillId="0" borderId="0" xfId="0" applyNumberFormat="1" applyFont="1" applyAlignment="1">
      <alignment horizontal="center"/>
    </xf>
    <xf numFmtId="3" fontId="62" fillId="0" borderId="0" xfId="0" applyNumberFormat="1" applyFont="1" applyAlignment="1">
      <alignment horizontal="right"/>
    </xf>
    <xf numFmtId="175" fontId="64" fillId="0" borderId="0" xfId="0" applyNumberFormat="1" applyFont="1"/>
    <xf numFmtId="3" fontId="16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3" fontId="18" fillId="0" borderId="0" xfId="0" applyNumberFormat="1" applyFont="1"/>
    <xf numFmtId="9" fontId="18" fillId="0" borderId="0" xfId="8" applyFont="1"/>
    <xf numFmtId="3" fontId="16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center"/>
    </xf>
    <xf numFmtId="9" fontId="18" fillId="0" borderId="0" xfId="8" applyFont="1" applyAlignment="1">
      <alignment horizontal="center"/>
    </xf>
    <xf numFmtId="0" fontId="37" fillId="5" borderId="27" xfId="0" applyFont="1" applyFill="1" applyBorder="1" applyAlignment="1">
      <alignment horizontal="left" wrapText="1"/>
    </xf>
    <xf numFmtId="0" fontId="33" fillId="5" borderId="7" xfId="0" applyFont="1" applyFill="1" applyBorder="1" applyAlignment="1">
      <alignment horizontal="left" wrapText="1"/>
    </xf>
    <xf numFmtId="0" fontId="37" fillId="5" borderId="7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center" wrapText="1"/>
    </xf>
    <xf numFmtId="0" fontId="35" fillId="7" borderId="33" xfId="0" applyFont="1" applyFill="1" applyBorder="1" applyAlignment="1">
      <alignment wrapText="1"/>
    </xf>
    <xf numFmtId="3" fontId="35" fillId="7" borderId="48" xfId="0" applyNumberFormat="1" applyFont="1" applyFill="1" applyBorder="1"/>
    <xf numFmtId="3" fontId="35" fillId="7" borderId="40" xfId="0" applyNumberFormat="1" applyFont="1" applyFill="1" applyBorder="1"/>
    <xf numFmtId="3" fontId="35" fillId="7" borderId="49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3" fontId="35" fillId="7" borderId="42" xfId="0" applyNumberFormat="1" applyFont="1" applyFill="1" applyBorder="1" applyAlignment="1">
      <alignment wrapText="1"/>
    </xf>
    <xf numFmtId="3" fontId="35" fillId="7" borderId="25" xfId="0" applyNumberFormat="1" applyFont="1" applyFill="1" applyBorder="1" applyAlignment="1">
      <alignment wrapText="1"/>
    </xf>
    <xf numFmtId="3" fontId="35" fillId="7" borderId="47" xfId="0" applyNumberFormat="1" applyFont="1" applyFill="1" applyBorder="1" applyAlignment="1">
      <alignment wrapText="1"/>
    </xf>
    <xf numFmtId="3" fontId="35" fillId="7" borderId="23" xfId="0" applyNumberFormat="1" applyFont="1" applyFill="1" applyBorder="1" applyAlignment="1">
      <alignment wrapText="1"/>
    </xf>
    <xf numFmtId="3" fontId="35" fillId="7" borderId="26" xfId="0" applyNumberFormat="1" applyFont="1" applyFill="1" applyBorder="1" applyAlignment="1">
      <alignment wrapText="1"/>
    </xf>
    <xf numFmtId="3" fontId="35" fillId="7" borderId="27" xfId="0" applyNumberFormat="1" applyFont="1" applyFill="1" applyBorder="1" applyAlignment="1">
      <alignment wrapText="1"/>
    </xf>
    <xf numFmtId="3" fontId="35" fillId="7" borderId="22" xfId="0" applyNumberFormat="1" applyFont="1" applyFill="1" applyBorder="1"/>
    <xf numFmtId="3" fontId="35" fillId="7" borderId="5" xfId="0" applyNumberFormat="1" applyFont="1" applyFill="1" applyBorder="1"/>
    <xf numFmtId="3" fontId="35" fillId="7" borderId="30" xfId="0" applyNumberFormat="1" applyFont="1" applyFill="1" applyBorder="1"/>
    <xf numFmtId="3" fontId="35" fillId="7" borderId="1" xfId="0" applyNumberFormat="1" applyFont="1" applyFill="1" applyBorder="1"/>
    <xf numFmtId="3" fontId="35" fillId="7" borderId="50" xfId="0" applyNumberFormat="1" applyFont="1" applyFill="1" applyBorder="1"/>
    <xf numFmtId="3" fontId="35" fillId="7" borderId="56" xfId="0" applyNumberFormat="1" applyFont="1" applyFill="1" applyBorder="1"/>
    <xf numFmtId="0" fontId="35" fillId="7" borderId="25" xfId="0" applyFont="1" applyFill="1" applyBorder="1" applyAlignment="1">
      <alignment horizontal="center"/>
    </xf>
    <xf numFmtId="0" fontId="35" fillId="7" borderId="7" xfId="0" applyFont="1" applyFill="1" applyBorder="1" applyAlignment="1">
      <alignment wrapText="1"/>
    </xf>
    <xf numFmtId="0" fontId="35" fillId="7" borderId="18" xfId="0" applyFont="1" applyFill="1" applyBorder="1" applyAlignment="1">
      <alignment horizontal="center"/>
    </xf>
    <xf numFmtId="0" fontId="35" fillId="7" borderId="31" xfId="0" applyFont="1" applyFill="1" applyBorder="1" applyAlignment="1">
      <alignment wrapText="1"/>
    </xf>
    <xf numFmtId="3" fontId="35" fillId="7" borderId="20" xfId="0" applyNumberFormat="1" applyFont="1" applyFill="1" applyBorder="1" applyAlignment="1">
      <alignment wrapText="1"/>
    </xf>
    <xf numFmtId="3" fontId="35" fillId="7" borderId="15" xfId="0" applyNumberFormat="1" applyFont="1" applyFill="1" applyBorder="1" applyAlignment="1">
      <alignment wrapText="1"/>
    </xf>
    <xf numFmtId="3" fontId="35" fillId="7" borderId="13" xfId="0" applyNumberFormat="1" applyFont="1" applyFill="1" applyBorder="1" applyAlignment="1">
      <alignment wrapText="1"/>
    </xf>
    <xf numFmtId="3" fontId="35" fillId="7" borderId="60" xfId="0" applyNumberFormat="1" applyFont="1" applyFill="1" applyBorder="1" applyAlignment="1">
      <alignment wrapText="1"/>
    </xf>
    <xf numFmtId="3" fontId="35" fillId="7" borderId="46" xfId="0" applyNumberFormat="1" applyFont="1" applyFill="1" applyBorder="1" applyAlignment="1">
      <alignment wrapText="1"/>
    </xf>
    <xf numFmtId="9" fontId="18" fillId="4" borderId="0" xfId="8" applyFont="1" applyFill="1" applyAlignment="1">
      <alignment horizontal="center"/>
    </xf>
    <xf numFmtId="3" fontId="20" fillId="0" borderId="0" xfId="0" applyNumberFormat="1" applyFont="1"/>
    <xf numFmtId="3" fontId="16" fillId="4" borderId="0" xfId="0" applyNumberFormat="1" applyFont="1" applyFill="1"/>
    <xf numFmtId="3" fontId="15" fillId="4" borderId="0" xfId="0" applyNumberFormat="1" applyFont="1" applyFill="1"/>
    <xf numFmtId="3" fontId="16" fillId="0" borderId="0" xfId="0" applyNumberFormat="1" applyFont="1" applyAlignment="1">
      <alignment horizontal="left"/>
    </xf>
    <xf numFmtId="3" fontId="40" fillId="0" borderId="0" xfId="0" applyNumberFormat="1" applyFont="1" applyAlignment="1">
      <alignment horizontal="right"/>
    </xf>
    <xf numFmtId="0" fontId="32" fillId="5" borderId="0" xfId="10" applyFont="1" applyFill="1"/>
    <xf numFmtId="168" fontId="32" fillId="5" borderId="0" xfId="0" applyNumberFormat="1" applyFont="1" applyFill="1"/>
    <xf numFmtId="0" fontId="118" fillId="11" borderId="14" xfId="0" applyFont="1" applyFill="1" applyBorder="1" applyAlignment="1">
      <alignment horizontal="center"/>
    </xf>
    <xf numFmtId="0" fontId="118" fillId="11" borderId="14" xfId="0" applyFont="1" applyFill="1" applyBorder="1"/>
    <xf numFmtId="0" fontId="66" fillId="11" borderId="14" xfId="0" applyFont="1" applyFill="1" applyBorder="1"/>
    <xf numFmtId="3" fontId="66" fillId="11" borderId="14" xfId="0" applyNumberFormat="1" applyFont="1" applyFill="1" applyBorder="1"/>
    <xf numFmtId="0" fontId="66" fillId="11" borderId="14" xfId="0" applyFont="1" applyFill="1" applyBorder="1" applyAlignment="1">
      <alignment horizontal="center"/>
    </xf>
    <xf numFmtId="3" fontId="53" fillId="11" borderId="29" xfId="0" applyNumberFormat="1" applyFont="1" applyFill="1" applyBorder="1"/>
    <xf numFmtId="3" fontId="53" fillId="11" borderId="75" xfId="0" applyNumberFormat="1" applyFont="1" applyFill="1" applyBorder="1"/>
    <xf numFmtId="3" fontId="53" fillId="11" borderId="24" xfId="0" applyNumberFormat="1" applyFont="1" applyFill="1" applyBorder="1"/>
    <xf numFmtId="3" fontId="53" fillId="11" borderId="66" xfId="0" applyNumberFormat="1" applyFont="1" applyFill="1" applyBorder="1"/>
    <xf numFmtId="3" fontId="69" fillId="11" borderId="29" xfId="0" applyNumberFormat="1" applyFont="1" applyFill="1" applyBorder="1"/>
    <xf numFmtId="3" fontId="69" fillId="11" borderId="75" xfId="0" applyNumberFormat="1" applyFont="1" applyFill="1" applyBorder="1"/>
    <xf numFmtId="3" fontId="69" fillId="11" borderId="24" xfId="0" applyNumberFormat="1" applyFont="1" applyFill="1" applyBorder="1"/>
    <xf numFmtId="3" fontId="69" fillId="11" borderId="66" xfId="0" applyNumberFormat="1" applyFont="1" applyFill="1" applyBorder="1"/>
    <xf numFmtId="3" fontId="69" fillId="0" borderId="21" xfId="0" applyNumberFormat="1" applyFont="1" applyBorder="1"/>
    <xf numFmtId="3" fontId="69" fillId="4" borderId="66" xfId="0" applyNumberFormat="1" applyFont="1" applyFill="1" applyBorder="1"/>
    <xf numFmtId="3" fontId="69" fillId="0" borderId="19" xfId="0" applyNumberFormat="1" applyFont="1" applyBorder="1"/>
    <xf numFmtId="3" fontId="53" fillId="11" borderId="19" xfId="0" applyNumberFormat="1" applyFont="1" applyFill="1" applyBorder="1"/>
    <xf numFmtId="3" fontId="53" fillId="11" borderId="21" xfId="0" applyNumberFormat="1" applyFont="1" applyFill="1" applyBorder="1"/>
    <xf numFmtId="3" fontId="53" fillId="11" borderId="38" xfId="0" applyNumberFormat="1" applyFont="1" applyFill="1" applyBorder="1"/>
    <xf numFmtId="3" fontId="53" fillId="4" borderId="66" xfId="0" applyNumberFormat="1" applyFont="1" applyFill="1" applyBorder="1"/>
    <xf numFmtId="3" fontId="40" fillId="0" borderId="25" xfId="0" applyNumberFormat="1" applyFont="1" applyBorder="1"/>
    <xf numFmtId="3" fontId="40" fillId="0" borderId="27" xfId="0" applyNumberFormat="1" applyFont="1" applyBorder="1"/>
    <xf numFmtId="3" fontId="40" fillId="4" borderId="27" xfId="0" applyNumberFormat="1" applyFont="1" applyFill="1" applyBorder="1"/>
    <xf numFmtId="0" fontId="67" fillId="0" borderId="1" xfId="0" applyFont="1" applyBorder="1"/>
    <xf numFmtId="0" fontId="67" fillId="0" borderId="22" xfId="0" applyFont="1" applyBorder="1" applyAlignment="1">
      <alignment horizontal="center"/>
    </xf>
    <xf numFmtId="0" fontId="67" fillId="0" borderId="5" xfId="0" applyFont="1" applyBorder="1"/>
    <xf numFmtId="0" fontId="86" fillId="4" borderId="56" xfId="0" applyFont="1" applyFill="1" applyBorder="1"/>
    <xf numFmtId="0" fontId="86" fillId="4" borderId="22" xfId="0" applyFont="1" applyFill="1" applyBorder="1"/>
    <xf numFmtId="0" fontId="86" fillId="4" borderId="5" xfId="0" applyFont="1" applyFill="1" applyBorder="1"/>
    <xf numFmtId="0" fontId="87" fillId="11" borderId="22" xfId="0" applyFont="1" applyFill="1" applyBorder="1"/>
    <xf numFmtId="0" fontId="87" fillId="11" borderId="5" xfId="0" applyFont="1" applyFill="1" applyBorder="1"/>
    <xf numFmtId="0" fontId="76" fillId="0" borderId="5" xfId="0" applyFont="1" applyBorder="1"/>
    <xf numFmtId="0" fontId="67" fillId="0" borderId="50" xfId="0" applyFont="1" applyBorder="1"/>
    <xf numFmtId="3" fontId="40" fillId="0" borderId="26" xfId="0" applyNumberFormat="1" applyFont="1" applyBorder="1"/>
    <xf numFmtId="3" fontId="40" fillId="0" borderId="70" xfId="0" applyNumberFormat="1" applyFont="1" applyBorder="1"/>
    <xf numFmtId="3" fontId="53" fillId="0" borderId="70" xfId="0" applyNumberFormat="1" applyFont="1" applyBorder="1"/>
    <xf numFmtId="3" fontId="88" fillId="0" borderId="70" xfId="0" applyNumberFormat="1" applyFont="1" applyBorder="1"/>
    <xf numFmtId="3" fontId="81" fillId="0" borderId="72" xfId="0" applyNumberFormat="1" applyFont="1" applyBorder="1"/>
    <xf numFmtId="3" fontId="53" fillId="11" borderId="72" xfId="0" applyNumberFormat="1" applyFont="1" applyFill="1" applyBorder="1"/>
    <xf numFmtId="3" fontId="69" fillId="11" borderId="72" xfId="0" applyNumberFormat="1" applyFont="1" applyFill="1" applyBorder="1"/>
    <xf numFmtId="3" fontId="69" fillId="0" borderId="72" xfId="0" applyNumberFormat="1" applyFont="1" applyBorder="1"/>
    <xf numFmtId="3" fontId="67" fillId="18" borderId="44" xfId="0" applyNumberFormat="1" applyFont="1" applyFill="1" applyBorder="1"/>
    <xf numFmtId="3" fontId="40" fillId="0" borderId="10" xfId="0" applyNumberFormat="1" applyFont="1" applyBorder="1"/>
    <xf numFmtId="3" fontId="53" fillId="0" borderId="11" xfId="0" applyNumberFormat="1" applyFont="1" applyBorder="1"/>
    <xf numFmtId="3" fontId="88" fillId="0" borderId="11" xfId="0" applyNumberFormat="1" applyFont="1" applyBorder="1"/>
    <xf numFmtId="3" fontId="81" fillId="0" borderId="12" xfId="0" applyNumberFormat="1" applyFont="1" applyBorder="1"/>
    <xf numFmtId="3" fontId="53" fillId="11" borderId="12" xfId="0" applyNumberFormat="1" applyFont="1" applyFill="1" applyBorder="1"/>
    <xf numFmtId="3" fontId="69" fillId="11" borderId="12" xfId="0" applyNumberFormat="1" applyFont="1" applyFill="1" applyBorder="1"/>
    <xf numFmtId="3" fontId="69" fillId="0" borderId="12" xfId="0" applyNumberFormat="1" applyFont="1" applyBorder="1"/>
    <xf numFmtId="3" fontId="67" fillId="18" borderId="34" xfId="0" applyNumberFormat="1" applyFont="1" applyFill="1" applyBorder="1"/>
    <xf numFmtId="3" fontId="40" fillId="0" borderId="71" xfId="0" applyNumberFormat="1" applyFont="1" applyBorder="1"/>
    <xf numFmtId="3" fontId="40" fillId="0" borderId="72" xfId="0" applyNumberFormat="1" applyFont="1" applyBorder="1"/>
    <xf numFmtId="3" fontId="53" fillId="0" borderId="72" xfId="0" applyNumberFormat="1" applyFont="1" applyBorder="1"/>
    <xf numFmtId="3" fontId="67" fillId="19" borderId="44" xfId="0" applyNumberFormat="1" applyFont="1" applyFill="1" applyBorder="1"/>
    <xf numFmtId="3" fontId="40" fillId="0" borderId="16" xfId="0" applyNumberFormat="1" applyFont="1" applyBorder="1"/>
    <xf numFmtId="3" fontId="40" fillId="0" borderId="12" xfId="0" applyNumberFormat="1" applyFont="1" applyBorder="1"/>
    <xf numFmtId="3" fontId="53" fillId="0" borderId="12" xfId="0" applyNumberFormat="1" applyFont="1" applyBorder="1"/>
    <xf numFmtId="3" fontId="67" fillId="19" borderId="34" xfId="0" applyNumberFormat="1" applyFont="1" applyFill="1" applyBorder="1"/>
    <xf numFmtId="3" fontId="40" fillId="0" borderId="46" xfId="0" applyNumberFormat="1" applyFont="1" applyBorder="1"/>
    <xf numFmtId="3" fontId="40" fillId="0" borderId="62" xfId="0" applyNumberFormat="1" applyFont="1" applyBorder="1"/>
    <xf numFmtId="3" fontId="40" fillId="0" borderId="74" xfId="0" applyNumberFormat="1" applyFont="1" applyBorder="1"/>
    <xf numFmtId="3" fontId="53" fillId="0" borderId="74" xfId="0" applyNumberFormat="1" applyFont="1" applyBorder="1"/>
    <xf numFmtId="3" fontId="69" fillId="0" borderId="74" xfId="0" applyNumberFormat="1" applyFont="1" applyBorder="1"/>
    <xf numFmtId="0" fontId="67" fillId="0" borderId="6" xfId="0" applyFont="1" applyBorder="1"/>
    <xf numFmtId="3" fontId="40" fillId="0" borderId="7" xfId="0" applyNumberFormat="1" applyFont="1" applyBorder="1"/>
    <xf numFmtId="3" fontId="40" fillId="0" borderId="8" xfId="0" applyNumberFormat="1" applyFont="1" applyBorder="1"/>
    <xf numFmtId="3" fontId="53" fillId="0" borderId="8" xfId="0" applyNumberFormat="1" applyFont="1" applyBorder="1"/>
    <xf numFmtId="3" fontId="88" fillId="0" borderId="8" xfId="0" applyNumberFormat="1" applyFont="1" applyBorder="1"/>
    <xf numFmtId="3" fontId="81" fillId="0" borderId="9" xfId="0" applyNumberFormat="1" applyFont="1" applyBorder="1"/>
    <xf numFmtId="3" fontId="53" fillId="11" borderId="9" xfId="0" applyNumberFormat="1" applyFont="1" applyFill="1" applyBorder="1"/>
    <xf numFmtId="3" fontId="69" fillId="11" borderId="9" xfId="0" applyNumberFormat="1" applyFont="1" applyFill="1" applyBorder="1"/>
    <xf numFmtId="3" fontId="69" fillId="0" borderId="9" xfId="0" applyNumberFormat="1" applyFont="1" applyBorder="1"/>
    <xf numFmtId="3" fontId="76" fillId="0" borderId="71" xfId="0" applyNumberFormat="1" applyFont="1" applyBorder="1"/>
    <xf numFmtId="9" fontId="89" fillId="17" borderId="49" xfId="8" applyFont="1" applyFill="1" applyBorder="1"/>
    <xf numFmtId="3" fontId="67" fillId="19" borderId="49" xfId="0" applyNumberFormat="1" applyFont="1" applyFill="1" applyBorder="1"/>
    <xf numFmtId="3" fontId="76" fillId="0" borderId="31" xfId="0" applyNumberFormat="1" applyFont="1" applyBorder="1"/>
    <xf numFmtId="9" fontId="89" fillId="17" borderId="35" xfId="8" applyFont="1" applyFill="1" applyBorder="1"/>
    <xf numFmtId="0" fontId="69" fillId="4" borderId="0" xfId="0" applyFont="1" applyFill="1"/>
    <xf numFmtId="3" fontId="69" fillId="4" borderId="0" xfId="0" applyNumberFormat="1" applyFont="1" applyFill="1"/>
    <xf numFmtId="3" fontId="113" fillId="4" borderId="0" xfId="0" applyNumberFormat="1" applyFont="1" applyFill="1" applyAlignment="1">
      <alignment horizontal="right"/>
    </xf>
    <xf numFmtId="4" fontId="63" fillId="0" borderId="0" xfId="0" applyNumberFormat="1" applyFont="1" applyAlignment="1">
      <alignment horizontal="center"/>
    </xf>
    <xf numFmtId="3" fontId="38" fillId="0" borderId="8" xfId="0" applyNumberFormat="1" applyFont="1" applyBorder="1"/>
    <xf numFmtId="3" fontId="35" fillId="0" borderId="71" xfId="0" applyNumberFormat="1" applyFont="1" applyBorder="1"/>
    <xf numFmtId="0" fontId="37" fillId="5" borderId="27" xfId="0" applyFont="1" applyFill="1" applyBorder="1" applyAlignment="1">
      <alignment horizontal="left" vertical="top" wrapText="1"/>
    </xf>
    <xf numFmtId="0" fontId="33" fillId="5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left" vertical="top" wrapText="1"/>
    </xf>
    <xf numFmtId="10" fontId="64" fillId="0" borderId="0" xfId="8" applyNumberFormat="1" applyFont="1" applyAlignment="1">
      <alignment horizontal="center"/>
    </xf>
    <xf numFmtId="0" fontId="0" fillId="5" borderId="2" xfId="0" applyFill="1" applyBorder="1"/>
    <xf numFmtId="0" fontId="13" fillId="5" borderId="50" xfId="0" applyFont="1" applyFill="1" applyBorder="1"/>
    <xf numFmtId="0" fontId="106" fillId="22" borderId="26" xfId="0" applyFont="1" applyFill="1" applyBorder="1" applyAlignment="1">
      <alignment horizontal="center"/>
    </xf>
    <xf numFmtId="0" fontId="106" fillId="22" borderId="70" xfId="0" applyFont="1" applyFill="1" applyBorder="1" applyAlignment="1">
      <alignment horizontal="center"/>
    </xf>
    <xf numFmtId="0" fontId="106" fillId="22" borderId="29" xfId="0" applyFont="1" applyFill="1" applyBorder="1"/>
    <xf numFmtId="0" fontId="106" fillId="22" borderId="70" xfId="0" applyFont="1" applyFill="1" applyBorder="1"/>
    <xf numFmtId="0" fontId="106" fillId="22" borderId="66" xfId="0" applyFont="1" applyFill="1" applyBorder="1"/>
    <xf numFmtId="0" fontId="106" fillId="22" borderId="72" xfId="0" applyFont="1" applyFill="1" applyBorder="1" applyAlignment="1">
      <alignment horizontal="center"/>
    </xf>
    <xf numFmtId="0" fontId="106" fillId="22" borderId="49" xfId="0" applyFont="1" applyFill="1" applyBorder="1" applyAlignment="1">
      <alignment horizontal="center"/>
    </xf>
    <xf numFmtId="0" fontId="107" fillId="5" borderId="50" xfId="0" applyFont="1" applyFill="1" applyBorder="1"/>
    <xf numFmtId="0" fontId="106" fillId="35" borderId="26" xfId="0" applyFont="1" applyFill="1" applyBorder="1"/>
    <xf numFmtId="0" fontId="106" fillId="35" borderId="19" xfId="0" applyFont="1" applyFill="1" applyBorder="1"/>
    <xf numFmtId="0" fontId="106" fillId="35" borderId="43" xfId="0" applyFont="1" applyFill="1" applyBorder="1" applyAlignment="1">
      <alignment horizontal="right" indent="5"/>
    </xf>
    <xf numFmtId="0" fontId="106" fillId="35" borderId="43" xfId="0" applyFont="1" applyFill="1" applyBorder="1"/>
    <xf numFmtId="0" fontId="106" fillId="35" borderId="29" xfId="0" applyFont="1" applyFill="1" applyBorder="1"/>
    <xf numFmtId="0" fontId="106" fillId="35" borderId="66" xfId="0" applyFont="1" applyFill="1" applyBorder="1" applyAlignment="1">
      <alignment horizontal="right" indent="5"/>
    </xf>
    <xf numFmtId="169" fontId="106" fillId="35" borderId="19" xfId="0" applyNumberFormat="1" applyFont="1" applyFill="1" applyBorder="1" applyAlignment="1">
      <alignment horizontal="right" indent="1"/>
    </xf>
    <xf numFmtId="0" fontId="106" fillId="35" borderId="40" xfId="0" applyFont="1" applyFill="1" applyBorder="1"/>
    <xf numFmtId="0" fontId="106" fillId="35" borderId="33" xfId="0" applyFont="1" applyFill="1" applyBorder="1" applyAlignment="1">
      <alignment horizontal="right" indent="5"/>
    </xf>
    <xf numFmtId="0" fontId="106" fillId="35" borderId="51" xfId="0" applyFont="1" applyFill="1" applyBorder="1"/>
    <xf numFmtId="0" fontId="106" fillId="35" borderId="52" xfId="0" applyFont="1" applyFill="1" applyBorder="1"/>
    <xf numFmtId="0" fontId="106" fillId="20" borderId="70" xfId="0" applyFont="1" applyFill="1" applyBorder="1"/>
    <xf numFmtId="0" fontId="106" fillId="20" borderId="49" xfId="0" applyFont="1" applyFill="1" applyBorder="1"/>
    <xf numFmtId="169" fontId="106" fillId="28" borderId="18" xfId="0" applyNumberFormat="1" applyFont="1" applyFill="1" applyBorder="1" applyAlignment="1">
      <alignment horizontal="right" indent="1"/>
    </xf>
    <xf numFmtId="169" fontId="106" fillId="28" borderId="13" xfId="0" applyNumberFormat="1" applyFont="1" applyFill="1" applyBorder="1" applyAlignment="1">
      <alignment horizontal="right" indent="1"/>
    </xf>
    <xf numFmtId="0" fontId="106" fillId="28" borderId="13" xfId="0" applyFont="1" applyFill="1" applyBorder="1"/>
    <xf numFmtId="0" fontId="106" fillId="8" borderId="13" xfId="0" applyFont="1" applyFill="1" applyBorder="1"/>
    <xf numFmtId="0" fontId="106" fillId="8" borderId="26" xfId="0" applyFont="1" applyFill="1" applyBorder="1"/>
    <xf numFmtId="169" fontId="106" fillId="8" borderId="41" xfId="0" applyNumberFormat="1" applyFont="1" applyFill="1" applyBorder="1" applyAlignment="1">
      <alignment horizontal="right" indent="1"/>
    </xf>
    <xf numFmtId="169" fontId="106" fillId="8" borderId="57" xfId="0" applyNumberFormat="1" applyFont="1" applyFill="1" applyBorder="1" applyAlignment="1">
      <alignment horizontal="right" indent="1"/>
    </xf>
    <xf numFmtId="169" fontId="106" fillId="8" borderId="38" xfId="0" applyNumberFormat="1" applyFont="1" applyFill="1" applyBorder="1" applyAlignment="1">
      <alignment horizontal="right" indent="1"/>
    </xf>
    <xf numFmtId="0" fontId="106" fillId="8" borderId="38" xfId="0" applyFont="1" applyFill="1" applyBorder="1"/>
    <xf numFmtId="0" fontId="106" fillId="8" borderId="57" xfId="0" applyFont="1" applyFill="1" applyBorder="1"/>
    <xf numFmtId="0" fontId="106" fillId="8" borderId="69" xfId="0" applyFont="1" applyFill="1" applyBorder="1"/>
    <xf numFmtId="0" fontId="106" fillId="8" borderId="11" xfId="0" applyFont="1" applyFill="1" applyBorder="1"/>
    <xf numFmtId="0" fontId="111" fillId="5" borderId="18" xfId="0" applyFont="1" applyFill="1" applyBorder="1"/>
    <xf numFmtId="0" fontId="107" fillId="5" borderId="13" xfId="0" applyFont="1" applyFill="1" applyBorder="1"/>
    <xf numFmtId="0" fontId="107" fillId="5" borderId="13" xfId="0" applyFont="1" applyFill="1" applyBorder="1" applyAlignment="1">
      <alignment horizontal="center"/>
    </xf>
    <xf numFmtId="0" fontId="107" fillId="5" borderId="60" xfId="0" applyFont="1" applyFill="1" applyBorder="1"/>
    <xf numFmtId="0" fontId="106" fillId="35" borderId="3" xfId="0" applyFont="1" applyFill="1" applyBorder="1"/>
    <xf numFmtId="0" fontId="106" fillId="28" borderId="53" xfId="0" applyFont="1" applyFill="1" applyBorder="1"/>
    <xf numFmtId="169" fontId="106" fillId="28" borderId="40" xfId="0" applyNumberFormat="1" applyFont="1" applyFill="1" applyBorder="1" applyAlignment="1">
      <alignment horizontal="right" indent="1"/>
    </xf>
    <xf numFmtId="169" fontId="106" fillId="28" borderId="48" xfId="0" applyNumberFormat="1" applyFont="1" applyFill="1" applyBorder="1" applyAlignment="1">
      <alignment horizontal="right" indent="1"/>
    </xf>
    <xf numFmtId="169" fontId="106" fillId="28" borderId="37" xfId="0" applyNumberFormat="1" applyFont="1" applyFill="1" applyBorder="1" applyAlignment="1">
      <alignment horizontal="right" indent="1"/>
    </xf>
    <xf numFmtId="0" fontId="106" fillId="28" borderId="33" xfId="0" applyFont="1" applyFill="1" applyBorder="1"/>
    <xf numFmtId="0" fontId="106" fillId="28" borderId="21" xfId="0" applyFont="1" applyFill="1" applyBorder="1"/>
    <xf numFmtId="0" fontId="106" fillId="8" borderId="19" xfId="0" applyFont="1" applyFill="1" applyBorder="1"/>
    <xf numFmtId="0" fontId="106" fillId="8" borderId="23" xfId="0" applyFont="1" applyFill="1" applyBorder="1"/>
    <xf numFmtId="0" fontId="106" fillId="8" borderId="54" xfId="0" applyFont="1" applyFill="1" applyBorder="1"/>
    <xf numFmtId="3" fontId="66" fillId="0" borderId="2" xfId="0" applyNumberFormat="1" applyFont="1" applyBorder="1" applyAlignment="1">
      <alignment horizontal="center" vertical="center" wrapText="1"/>
    </xf>
    <xf numFmtId="3" fontId="66" fillId="0" borderId="3" xfId="0" applyNumberFormat="1" applyFont="1" applyBorder="1" applyAlignment="1">
      <alignment horizontal="center" vertical="center" wrapText="1"/>
    </xf>
    <xf numFmtId="3" fontId="66" fillId="0" borderId="30" xfId="0" applyNumberFormat="1" applyFont="1" applyBorder="1" applyAlignment="1">
      <alignment horizontal="center" vertical="center" wrapText="1"/>
    </xf>
    <xf numFmtId="3" fontId="66" fillId="0" borderId="6" xfId="0" applyNumberFormat="1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/>
    </xf>
    <xf numFmtId="0" fontId="37" fillId="0" borderId="70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8" borderId="81" xfId="0" applyFont="1" applyFill="1" applyBorder="1" applyAlignment="1">
      <alignment horizontal="center"/>
    </xf>
    <xf numFmtId="0" fontId="33" fillId="8" borderId="30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3" fillId="4" borderId="81" xfId="0" applyFont="1" applyFill="1" applyBorder="1" applyAlignment="1">
      <alignment horizontal="center"/>
    </xf>
    <xf numFmtId="0" fontId="35" fillId="0" borderId="80" xfId="0" applyFont="1" applyBorder="1"/>
    <xf numFmtId="49" fontId="33" fillId="0" borderId="0" xfId="0" applyNumberFormat="1" applyFont="1"/>
    <xf numFmtId="14" fontId="13" fillId="0" borderId="0" xfId="0" applyNumberFormat="1" applyFont="1" applyAlignment="1">
      <alignment horizontal="center"/>
    </xf>
    <xf numFmtId="0" fontId="119" fillId="0" borderId="0" xfId="0" applyFont="1"/>
    <xf numFmtId="4" fontId="119" fillId="0" borderId="0" xfId="0" applyNumberFormat="1" applyFont="1"/>
    <xf numFmtId="0" fontId="120" fillId="25" borderId="76" xfId="11" applyFont="1" applyAlignment="1">
      <alignment horizontal="center"/>
    </xf>
    <xf numFmtId="0" fontId="120" fillId="25" borderId="76" xfId="11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4" fontId="119" fillId="4" borderId="0" xfId="0" applyNumberFormat="1" applyFont="1" applyFill="1"/>
    <xf numFmtId="0" fontId="119" fillId="0" borderId="0" xfId="0" applyFont="1" applyAlignment="1">
      <alignment horizontal="right"/>
    </xf>
    <xf numFmtId="0" fontId="119" fillId="27" borderId="62" xfId="0" applyFont="1" applyFill="1" applyBorder="1"/>
    <xf numFmtId="0" fontId="119" fillId="27" borderId="62" xfId="0" applyFont="1" applyFill="1" applyBorder="1" applyAlignment="1">
      <alignment horizontal="right"/>
    </xf>
    <xf numFmtId="0" fontId="119" fillId="4" borderId="62" xfId="0" applyFont="1" applyFill="1" applyBorder="1"/>
    <xf numFmtId="0" fontId="119" fillId="4" borderId="62" xfId="0" applyFont="1" applyFill="1" applyBorder="1" applyAlignment="1">
      <alignment horizontal="right"/>
    </xf>
    <xf numFmtId="0" fontId="119" fillId="28" borderId="0" xfId="0" applyFont="1" applyFill="1"/>
    <xf numFmtId="0" fontId="119" fillId="28" borderId="0" xfId="0" applyFont="1" applyFill="1" applyAlignment="1">
      <alignment horizontal="right"/>
    </xf>
    <xf numFmtId="14" fontId="119" fillId="28" borderId="62" xfId="0" applyNumberFormat="1" applyFont="1" applyFill="1" applyBorder="1"/>
    <xf numFmtId="0" fontId="119" fillId="28" borderId="62" xfId="0" applyFont="1" applyFill="1" applyBorder="1"/>
    <xf numFmtId="0" fontId="119" fillId="28" borderId="62" xfId="0" applyFont="1" applyFill="1" applyBorder="1" applyAlignment="1">
      <alignment horizontal="right"/>
    </xf>
    <xf numFmtId="4" fontId="119" fillId="29" borderId="0" xfId="0" applyNumberFormat="1" applyFont="1" applyFill="1"/>
    <xf numFmtId="0" fontId="60" fillId="0" borderId="0" xfId="0" applyFont="1" applyAlignment="1">
      <alignment horizontal="right"/>
    </xf>
    <xf numFmtId="3" fontId="119" fillId="0" borderId="0" xfId="0" applyNumberFormat="1" applyFont="1"/>
    <xf numFmtId="0" fontId="63" fillId="0" borderId="0" xfId="0" applyFont="1" applyAlignment="1">
      <alignment horizontal="right"/>
    </xf>
    <xf numFmtId="3" fontId="119" fillId="4" borderId="0" xfId="0" applyNumberFormat="1" applyFont="1" applyFill="1"/>
    <xf numFmtId="174" fontId="119" fillId="28" borderId="0" xfId="0" applyNumberFormat="1" applyFont="1" applyFill="1" applyAlignment="1">
      <alignment horizontal="right"/>
    </xf>
    <xf numFmtId="2" fontId="119" fillId="0" borderId="0" xfId="0" applyNumberFormat="1" applyFont="1" applyAlignment="1">
      <alignment horizontal="right"/>
    </xf>
    <xf numFmtId="174" fontId="119" fillId="0" borderId="0" xfId="0" applyNumberFormat="1" applyFont="1" applyAlignment="1">
      <alignment horizontal="right"/>
    </xf>
    <xf numFmtId="0" fontId="64" fillId="0" borderId="0" xfId="0" applyFont="1" applyAlignment="1">
      <alignment horizontal="right"/>
    </xf>
    <xf numFmtId="174" fontId="119" fillId="27" borderId="62" xfId="0" applyNumberFormat="1" applyFont="1" applyFill="1" applyBorder="1" applyAlignment="1">
      <alignment horizontal="right"/>
    </xf>
    <xf numFmtId="3" fontId="121" fillId="0" borderId="0" xfId="0" applyNumberFormat="1" applyFont="1"/>
    <xf numFmtId="3" fontId="16" fillId="4" borderId="0" xfId="0" applyNumberFormat="1" applyFont="1" applyFill="1" applyAlignment="1">
      <alignment horizontal="right"/>
    </xf>
    <xf numFmtId="4" fontId="121" fillId="0" borderId="0" xfId="0" applyNumberFormat="1" applyFont="1" applyAlignment="1">
      <alignment horizontal="center"/>
    </xf>
    <xf numFmtId="3" fontId="122" fillId="0" borderId="0" xfId="0" applyNumberFormat="1" applyFont="1"/>
    <xf numFmtId="3" fontId="121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/>
    <xf numFmtId="3" fontId="20" fillId="0" borderId="0" xfId="0" applyNumberFormat="1" applyFont="1" applyAlignment="1">
      <alignment horizontal="right"/>
    </xf>
    <xf numFmtId="3" fontId="124" fillId="4" borderId="0" xfId="0" applyNumberFormat="1" applyFont="1" applyFill="1" applyAlignment="1">
      <alignment horizontal="right"/>
    </xf>
    <xf numFmtId="0" fontId="125" fillId="23" borderId="0" xfId="0" applyFont="1" applyFill="1"/>
    <xf numFmtId="9" fontId="55" fillId="17" borderId="54" xfId="8" applyFont="1" applyFill="1" applyBorder="1"/>
    <xf numFmtId="9" fontId="55" fillId="17" borderId="51" xfId="8" applyFont="1" applyFill="1" applyBorder="1"/>
    <xf numFmtId="9" fontId="55" fillId="17" borderId="28" xfId="8" applyFont="1" applyFill="1" applyBorder="1"/>
    <xf numFmtId="9" fontId="55" fillId="17" borderId="55" xfId="8" applyFont="1" applyFill="1" applyBorder="1"/>
    <xf numFmtId="9" fontId="55" fillId="17" borderId="0" xfId="8" applyFont="1" applyFill="1" applyBorder="1"/>
    <xf numFmtId="0" fontId="66" fillId="0" borderId="2" xfId="0" applyFont="1" applyBorder="1"/>
    <xf numFmtId="164" fontId="73" fillId="0" borderId="53" xfId="1" applyFont="1" applyBorder="1"/>
    <xf numFmtId="164" fontId="73" fillId="0" borderId="0" xfId="1" applyFont="1" applyBorder="1"/>
    <xf numFmtId="0" fontId="40" fillId="0" borderId="16" xfId="0" applyFont="1" applyBorder="1" applyAlignment="1">
      <alignment horizontal="right"/>
    </xf>
    <xf numFmtId="3" fontId="53" fillId="0" borderId="17" xfId="0" applyNumberFormat="1" applyFont="1" applyBorder="1"/>
    <xf numFmtId="0" fontId="40" fillId="0" borderId="34" xfId="0" applyFont="1" applyBorder="1" applyAlignment="1">
      <alignment horizontal="right"/>
    </xf>
    <xf numFmtId="3" fontId="40" fillId="0" borderId="32" xfId="0" applyNumberFormat="1" applyFont="1" applyBorder="1"/>
    <xf numFmtId="3" fontId="38" fillId="0" borderId="60" xfId="0" applyNumberFormat="1" applyFont="1" applyBorder="1"/>
    <xf numFmtId="9" fontId="44" fillId="20" borderId="37" xfId="8" applyFont="1" applyFill="1" applyBorder="1"/>
    <xf numFmtId="9" fontId="44" fillId="20" borderId="33" xfId="8" applyFont="1" applyFill="1" applyBorder="1"/>
    <xf numFmtId="9" fontId="44" fillId="20" borderId="40" xfId="8" applyFont="1" applyFill="1" applyBorder="1"/>
    <xf numFmtId="0" fontId="44" fillId="23" borderId="0" xfId="0" applyFont="1" applyFill="1"/>
    <xf numFmtId="3" fontId="54" fillId="36" borderId="40" xfId="0" applyNumberFormat="1" applyFont="1" applyFill="1" applyBorder="1"/>
    <xf numFmtId="3" fontId="54" fillId="36" borderId="37" xfId="0" applyNumberFormat="1" applyFont="1" applyFill="1" applyBorder="1"/>
    <xf numFmtId="3" fontId="54" fillId="23" borderId="0" xfId="0" applyNumberFormat="1" applyFont="1" applyFill="1"/>
    <xf numFmtId="3" fontId="54" fillId="18" borderId="40" xfId="0" applyNumberFormat="1" applyFont="1" applyFill="1" applyBorder="1"/>
    <xf numFmtId="3" fontId="54" fillId="18" borderId="37" xfId="0" applyNumberFormat="1" applyFont="1" applyFill="1" applyBorder="1"/>
    <xf numFmtId="3" fontId="37" fillId="4" borderId="29" xfId="0" applyNumberFormat="1" applyFont="1" applyFill="1" applyBorder="1"/>
    <xf numFmtId="3" fontId="37" fillId="4" borderId="24" xfId="0" applyNumberFormat="1" applyFont="1" applyFill="1" applyBorder="1"/>
    <xf numFmtId="3" fontId="37" fillId="4" borderId="72" xfId="0" applyNumberFormat="1" applyFont="1" applyFill="1" applyBorder="1"/>
    <xf numFmtId="3" fontId="37" fillId="4" borderId="9" xfId="0" applyNumberFormat="1" applyFont="1" applyFill="1" applyBorder="1"/>
    <xf numFmtId="3" fontId="37" fillId="4" borderId="12" xfId="0" applyNumberFormat="1" applyFont="1" applyFill="1" applyBorder="1"/>
    <xf numFmtId="3" fontId="37" fillId="23" borderId="0" xfId="0" applyNumberFormat="1" applyFont="1" applyFill="1"/>
    <xf numFmtId="3" fontId="37" fillId="0" borderId="9" xfId="0" applyNumberFormat="1" applyFont="1" applyBorder="1"/>
    <xf numFmtId="3" fontId="37" fillId="0" borderId="12" xfId="0" applyNumberFormat="1" applyFont="1" applyBorder="1"/>
    <xf numFmtId="3" fontId="37" fillId="37" borderId="29" xfId="0" applyNumberFormat="1" applyFont="1" applyFill="1" applyBorder="1"/>
    <xf numFmtId="3" fontId="37" fillId="37" borderId="24" xfId="0" applyNumberFormat="1" applyFont="1" applyFill="1" applyBorder="1"/>
    <xf numFmtId="3" fontId="37" fillId="37" borderId="72" xfId="0" applyNumberFormat="1" applyFont="1" applyFill="1" applyBorder="1"/>
    <xf numFmtId="3" fontId="37" fillId="37" borderId="9" xfId="0" applyNumberFormat="1" applyFont="1" applyFill="1" applyBorder="1"/>
    <xf numFmtId="3" fontId="37" fillId="37" borderId="12" xfId="0" applyNumberFormat="1" applyFont="1" applyFill="1" applyBorder="1"/>
    <xf numFmtId="3" fontId="37" fillId="5" borderId="72" xfId="0" applyNumberFormat="1" applyFont="1" applyFill="1" applyBorder="1"/>
    <xf numFmtId="3" fontId="37" fillId="38" borderId="24" xfId="0" applyNumberFormat="1" applyFont="1" applyFill="1" applyBorder="1"/>
    <xf numFmtId="3" fontId="37" fillId="38" borderId="72" xfId="0" applyNumberFormat="1" applyFont="1" applyFill="1" applyBorder="1"/>
    <xf numFmtId="3" fontId="37" fillId="38" borderId="9" xfId="0" applyNumberFormat="1" applyFont="1" applyFill="1" applyBorder="1"/>
    <xf numFmtId="3" fontId="37" fillId="38" borderId="12" xfId="0" applyNumberFormat="1" applyFont="1" applyFill="1" applyBorder="1"/>
    <xf numFmtId="3" fontId="33" fillId="4" borderId="29" xfId="0" applyNumberFormat="1" applyFont="1" applyFill="1" applyBorder="1"/>
    <xf numFmtId="3" fontId="33" fillId="4" borderId="24" xfId="0" applyNumberFormat="1" applyFont="1" applyFill="1" applyBorder="1"/>
    <xf numFmtId="3" fontId="33" fillId="4" borderId="72" xfId="0" applyNumberFormat="1" applyFont="1" applyFill="1" applyBorder="1"/>
    <xf numFmtId="3" fontId="33" fillId="4" borderId="9" xfId="0" applyNumberFormat="1" applyFont="1" applyFill="1" applyBorder="1"/>
    <xf numFmtId="3" fontId="33" fillId="4" borderId="12" xfId="0" applyNumberFormat="1" applyFont="1" applyFill="1" applyBorder="1"/>
    <xf numFmtId="3" fontId="33" fillId="37" borderId="29" xfId="0" applyNumberFormat="1" applyFont="1" applyFill="1" applyBorder="1"/>
    <xf numFmtId="3" fontId="33" fillId="37" borderId="24" xfId="0" applyNumberFormat="1" applyFont="1" applyFill="1" applyBorder="1"/>
    <xf numFmtId="3" fontId="33" fillId="37" borderId="72" xfId="0" applyNumberFormat="1" applyFont="1" applyFill="1" applyBorder="1"/>
    <xf numFmtId="3" fontId="33" fillId="5" borderId="72" xfId="0" applyNumberFormat="1" applyFont="1" applyFill="1" applyBorder="1"/>
    <xf numFmtId="3" fontId="33" fillId="38" borderId="24" xfId="0" applyNumberFormat="1" applyFont="1" applyFill="1" applyBorder="1"/>
    <xf numFmtId="3" fontId="33" fillId="38" borderId="72" xfId="0" applyNumberFormat="1" applyFont="1" applyFill="1" applyBorder="1"/>
    <xf numFmtId="3" fontId="33" fillId="38" borderId="9" xfId="0" applyNumberFormat="1" applyFont="1" applyFill="1" applyBorder="1"/>
    <xf numFmtId="3" fontId="33" fillId="38" borderId="12" xfId="0" applyNumberFormat="1" applyFont="1" applyFill="1" applyBorder="1"/>
    <xf numFmtId="0" fontId="54" fillId="36" borderId="5" xfId="0" applyFont="1" applyFill="1" applyBorder="1"/>
    <xf numFmtId="0" fontId="54" fillId="36" borderId="56" xfId="0" applyFont="1" applyFill="1" applyBorder="1"/>
    <xf numFmtId="0" fontId="54" fillId="36" borderId="22" xfId="0" applyFont="1" applyFill="1" applyBorder="1"/>
    <xf numFmtId="0" fontId="54" fillId="36" borderId="50" xfId="0" applyFont="1" applyFill="1" applyBorder="1"/>
    <xf numFmtId="0" fontId="54" fillId="36" borderId="6" xfId="0" applyFont="1" applyFill="1" applyBorder="1"/>
    <xf numFmtId="0" fontId="54" fillId="36" borderId="3" xfId="0" applyFont="1" applyFill="1" applyBorder="1"/>
    <xf numFmtId="0" fontId="96" fillId="23" borderId="0" xfId="0" applyFont="1" applyFill="1"/>
    <xf numFmtId="0" fontId="41" fillId="5" borderId="0" xfId="0" applyFont="1" applyFill="1"/>
    <xf numFmtId="3" fontId="41" fillId="5" borderId="14" xfId="0" applyNumberFormat="1" applyFont="1" applyFill="1" applyBorder="1"/>
    <xf numFmtId="3" fontId="41" fillId="38" borderId="12" xfId="0" applyNumberFormat="1" applyFont="1" applyFill="1" applyBorder="1"/>
    <xf numFmtId="3" fontId="54" fillId="19" borderId="40" xfId="0" applyNumberFormat="1" applyFont="1" applyFill="1" applyBorder="1"/>
    <xf numFmtId="3" fontId="54" fillId="19" borderId="37" xfId="0" applyNumberFormat="1" applyFont="1" applyFill="1" applyBorder="1"/>
    <xf numFmtId="3" fontId="41" fillId="0" borderId="18" xfId="0" applyNumberFormat="1" applyFont="1" applyBorder="1"/>
    <xf numFmtId="3" fontId="41" fillId="0" borderId="13" xfId="0" applyNumberFormat="1" applyFont="1" applyBorder="1"/>
    <xf numFmtId="3" fontId="37" fillId="0" borderId="29" xfId="0" applyNumberFormat="1" applyFont="1" applyBorder="1"/>
    <xf numFmtId="3" fontId="41" fillId="4" borderId="19" xfId="0" applyNumberFormat="1" applyFont="1" applyFill="1" applyBorder="1"/>
    <xf numFmtId="3" fontId="41" fillId="4" borderId="14" xfId="0" applyNumberFormat="1" applyFont="1" applyFill="1" applyBorder="1"/>
    <xf numFmtId="0" fontId="54" fillId="0" borderId="3" xfId="0" applyFont="1" applyBorder="1"/>
    <xf numFmtId="3" fontId="54" fillId="5" borderId="0" xfId="0" applyNumberFormat="1" applyFont="1" applyFill="1"/>
    <xf numFmtId="0" fontId="54" fillId="23" borderId="0" xfId="0" applyFont="1" applyFill="1"/>
    <xf numFmtId="3" fontId="38" fillId="0" borderId="18" xfId="0" applyNumberFormat="1" applyFont="1" applyBorder="1"/>
    <xf numFmtId="3" fontId="41" fillId="37" borderId="14" xfId="0" applyNumberFormat="1" applyFont="1" applyFill="1" applyBorder="1"/>
    <xf numFmtId="3" fontId="41" fillId="38" borderId="14" xfId="0" applyNumberFormat="1" applyFont="1" applyFill="1" applyBorder="1"/>
    <xf numFmtId="3" fontId="41" fillId="0" borderId="60" xfId="0" applyNumberFormat="1" applyFont="1" applyBorder="1"/>
    <xf numFmtId="3" fontId="41" fillId="4" borderId="43" xfId="0" applyNumberFormat="1" applyFont="1" applyFill="1" applyBorder="1"/>
    <xf numFmtId="3" fontId="41" fillId="37" borderId="19" xfId="0" applyNumberFormat="1" applyFont="1" applyFill="1" applyBorder="1"/>
    <xf numFmtId="3" fontId="41" fillId="5" borderId="19" xfId="0" applyNumberFormat="1" applyFont="1" applyFill="1" applyBorder="1"/>
    <xf numFmtId="3" fontId="41" fillId="38" borderId="43" xfId="0" applyNumberFormat="1" applyFont="1" applyFill="1" applyBorder="1"/>
    <xf numFmtId="3" fontId="54" fillId="19" borderId="33" xfId="0" applyNumberFormat="1" applyFont="1" applyFill="1" applyBorder="1"/>
    <xf numFmtId="0" fontId="54" fillId="36" borderId="1" xfId="0" applyFont="1" applyFill="1" applyBorder="1"/>
    <xf numFmtId="3" fontId="33" fillId="37" borderId="66" xfId="0" applyNumberFormat="1" applyFont="1" applyFill="1" applyBorder="1"/>
    <xf numFmtId="3" fontId="33" fillId="5" borderId="29" xfId="0" applyNumberFormat="1" applyFont="1" applyFill="1" applyBorder="1"/>
    <xf numFmtId="3" fontId="54" fillId="36" borderId="33" xfId="0" applyNumberFormat="1" applyFont="1" applyFill="1" applyBorder="1"/>
    <xf numFmtId="3" fontId="37" fillId="5" borderId="29" xfId="0" applyNumberFormat="1" applyFont="1" applyFill="1" applyBorder="1"/>
    <xf numFmtId="3" fontId="54" fillId="18" borderId="33" xfId="0" applyNumberFormat="1" applyFont="1" applyFill="1" applyBorder="1"/>
    <xf numFmtId="3" fontId="33" fillId="37" borderId="12" xfId="0" applyNumberFormat="1" applyFont="1" applyFill="1" applyBorder="1"/>
    <xf numFmtId="3" fontId="54" fillId="36" borderId="34" xfId="0" applyNumberFormat="1" applyFont="1" applyFill="1" applyBorder="1"/>
    <xf numFmtId="3" fontId="54" fillId="18" borderId="34" xfId="0" applyNumberFormat="1" applyFont="1" applyFill="1" applyBorder="1"/>
    <xf numFmtId="3" fontId="41" fillId="0" borderId="16" xfId="0" applyNumberFormat="1" applyFont="1" applyBorder="1"/>
    <xf numFmtId="3" fontId="41" fillId="0" borderId="10" xfId="0" applyNumberFormat="1" applyFont="1" applyBorder="1"/>
    <xf numFmtId="3" fontId="41" fillId="0" borderId="11" xfId="0" applyNumberFormat="1" applyFont="1" applyBorder="1"/>
    <xf numFmtId="3" fontId="41" fillId="4" borderId="11" xfId="0" applyNumberFormat="1" applyFont="1" applyFill="1" applyBorder="1"/>
    <xf numFmtId="3" fontId="41" fillId="37" borderId="12" xfId="0" applyNumberFormat="1" applyFont="1" applyFill="1" applyBorder="1"/>
    <xf numFmtId="3" fontId="54" fillId="19" borderId="34" xfId="0" applyNumberFormat="1" applyFont="1" applyFill="1" applyBorder="1"/>
    <xf numFmtId="0" fontId="38" fillId="0" borderId="16" xfId="0" applyFont="1" applyBorder="1"/>
    <xf numFmtId="0" fontId="44" fillId="20" borderId="34" xfId="0" applyFont="1" applyFill="1" applyBorder="1"/>
    <xf numFmtId="3" fontId="126" fillId="10" borderId="0" xfId="0" applyNumberFormat="1" applyFont="1" applyFill="1"/>
    <xf numFmtId="4" fontId="68" fillId="22" borderId="0" xfId="0" applyNumberFormat="1" applyFont="1" applyFill="1"/>
    <xf numFmtId="3" fontId="127" fillId="22" borderId="0" xfId="0" applyNumberFormat="1" applyFont="1" applyFill="1"/>
    <xf numFmtId="0" fontId="127" fillId="22" borderId="0" xfId="0" applyFont="1" applyFill="1"/>
    <xf numFmtId="0" fontId="128" fillId="5" borderId="0" xfId="5" applyFont="1" applyFill="1" applyAlignment="1">
      <alignment horizontal="left"/>
    </xf>
    <xf numFmtId="0" fontId="128" fillId="5" borderId="0" xfId="5" applyFont="1" applyFill="1" applyAlignment="1">
      <alignment horizontal="center"/>
    </xf>
    <xf numFmtId="0" fontId="129" fillId="5" borderId="0" xfId="5" applyFont="1" applyFill="1"/>
    <xf numFmtId="3" fontId="128" fillId="5" borderId="0" xfId="5" applyNumberFormat="1" applyFont="1" applyFill="1"/>
    <xf numFmtId="3" fontId="68" fillId="22" borderId="0" xfId="5" applyNumberFormat="1" applyFont="1" applyFill="1"/>
    <xf numFmtId="0" fontId="68" fillId="22" borderId="0" xfId="5" applyFont="1" applyFill="1"/>
    <xf numFmtId="4" fontId="68" fillId="22" borderId="0" xfId="5" applyNumberFormat="1" applyFont="1" applyFill="1"/>
    <xf numFmtId="3" fontId="127" fillId="22" borderId="0" xfId="5" applyNumberFormat="1" applyFont="1" applyFill="1"/>
    <xf numFmtId="0" fontId="127" fillId="22" borderId="0" xfId="5" applyFont="1" applyFill="1"/>
    <xf numFmtId="0" fontId="128" fillId="5" borderId="0" xfId="0" applyFont="1" applyFill="1"/>
    <xf numFmtId="0" fontId="128" fillId="5" borderId="0" xfId="0" applyFont="1" applyFill="1" applyAlignment="1">
      <alignment horizontal="center"/>
    </xf>
    <xf numFmtId="0" fontId="128" fillId="5" borderId="0" xfId="5" applyFont="1" applyFill="1" applyAlignment="1">
      <alignment wrapText="1"/>
    </xf>
    <xf numFmtId="3" fontId="128" fillId="5" borderId="0" xfId="0" applyNumberFormat="1" applyFont="1" applyFill="1"/>
    <xf numFmtId="0" fontId="129" fillId="5" borderId="0" xfId="0" applyFont="1" applyFill="1" applyAlignment="1">
      <alignment wrapText="1"/>
    </xf>
    <xf numFmtId="3" fontId="128" fillId="5" borderId="0" xfId="0" applyNumberFormat="1" applyFont="1" applyFill="1" applyAlignment="1">
      <alignment horizontal="right"/>
    </xf>
    <xf numFmtId="49" fontId="127" fillId="22" borderId="0" xfId="0" applyNumberFormat="1" applyFont="1" applyFill="1" applyAlignment="1">
      <alignment horizontal="center"/>
    </xf>
    <xf numFmtId="4" fontId="127" fillId="22" borderId="0" xfId="0" applyNumberFormat="1" applyFont="1" applyFill="1" applyAlignment="1">
      <alignment horizontal="center"/>
    </xf>
    <xf numFmtId="3" fontId="128" fillId="2" borderId="4" xfId="5" applyNumberFormat="1" applyFont="1" applyFill="1" applyBorder="1" applyAlignment="1">
      <alignment horizontal="center" vertical="center" wrapText="1"/>
    </xf>
    <xf numFmtId="0" fontId="79" fillId="22" borderId="0" xfId="0" applyFont="1" applyFill="1" applyAlignment="1">
      <alignment horizontal="right"/>
    </xf>
    <xf numFmtId="0" fontId="79" fillId="22" borderId="0" xfId="0" applyFont="1" applyFill="1"/>
    <xf numFmtId="0" fontId="78" fillId="22" borderId="0" xfId="0" applyFont="1" applyFill="1"/>
    <xf numFmtId="0" fontId="128" fillId="0" borderId="1" xfId="0" applyFont="1" applyBorder="1" applyAlignment="1">
      <alignment horizontal="center"/>
    </xf>
    <xf numFmtId="0" fontId="128" fillId="0" borderId="5" xfId="0" applyFont="1" applyBorder="1" applyAlignment="1">
      <alignment horizontal="center"/>
    </xf>
    <xf numFmtId="0" fontId="128" fillId="0" borderId="6" xfId="0" applyFont="1" applyBorder="1" applyAlignment="1">
      <alignment wrapText="1"/>
    </xf>
    <xf numFmtId="3" fontId="128" fillId="0" borderId="3" xfId="0" applyNumberFormat="1" applyFont="1" applyBorder="1"/>
    <xf numFmtId="3" fontId="83" fillId="4" borderId="0" xfId="0" applyNumberFormat="1" applyFont="1" applyFill="1"/>
    <xf numFmtId="4" fontId="79" fillId="22" borderId="0" xfId="0" applyNumberFormat="1" applyFont="1" applyFill="1"/>
    <xf numFmtId="0" fontId="129" fillId="4" borderId="25" xfId="0" applyFont="1" applyFill="1" applyBorder="1" applyAlignment="1">
      <alignment horizontal="center"/>
    </xf>
    <xf numFmtId="0" fontId="129" fillId="4" borderId="7" xfId="0" applyFont="1" applyFill="1" applyBorder="1" applyAlignment="1">
      <alignment wrapText="1"/>
    </xf>
    <xf numFmtId="3" fontId="129" fillId="4" borderId="11" xfId="0" applyNumberFormat="1" applyFont="1" applyFill="1" applyBorder="1"/>
    <xf numFmtId="3" fontId="78" fillId="22" borderId="0" xfId="8" applyNumberFormat="1" applyFont="1" applyFill="1"/>
    <xf numFmtId="3" fontId="78" fillId="7" borderId="0" xfId="8" applyNumberFormat="1" applyFont="1" applyFill="1"/>
    <xf numFmtId="4" fontId="127" fillId="22" borderId="0" xfId="0" applyNumberFormat="1" applyFont="1" applyFill="1"/>
    <xf numFmtId="0" fontId="129" fillId="4" borderId="14" xfId="0" applyFont="1" applyFill="1" applyBorder="1" applyAlignment="1">
      <alignment horizontal="center"/>
    </xf>
    <xf numFmtId="0" fontId="129" fillId="4" borderId="8" xfId="0" applyFont="1" applyFill="1" applyBorder="1" applyAlignment="1">
      <alignment wrapText="1"/>
    </xf>
    <xf numFmtId="3" fontId="78" fillId="7" borderId="0" xfId="0" applyNumberFormat="1" applyFont="1" applyFill="1"/>
    <xf numFmtId="0" fontId="129" fillId="0" borderId="19" xfId="0" applyFont="1" applyBorder="1" applyAlignment="1">
      <alignment horizontal="center"/>
    </xf>
    <xf numFmtId="0" fontId="129" fillId="0" borderId="14" xfId="0" applyFont="1" applyBorder="1" applyAlignment="1">
      <alignment horizontal="center"/>
    </xf>
    <xf numFmtId="0" fontId="129" fillId="0" borderId="8" xfId="0" applyFont="1" applyBorder="1" applyAlignment="1">
      <alignment wrapText="1"/>
    </xf>
    <xf numFmtId="3" fontId="129" fillId="5" borderId="11" xfId="0" applyNumberFormat="1" applyFont="1" applyFill="1" applyBorder="1"/>
    <xf numFmtId="10" fontId="78" fillId="22" borderId="0" xfId="8" applyNumberFormat="1" applyFont="1" applyFill="1"/>
    <xf numFmtId="0" fontId="51" fillId="0" borderId="19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0" fontId="129" fillId="5" borderId="14" xfId="0" applyFont="1" applyFill="1" applyBorder="1" applyAlignment="1">
      <alignment horizontal="center"/>
    </xf>
    <xf numFmtId="0" fontId="129" fillId="5" borderId="8" xfId="0" applyFont="1" applyFill="1" applyBorder="1" applyAlignment="1">
      <alignment wrapText="1"/>
    </xf>
    <xf numFmtId="3" fontId="129" fillId="0" borderId="11" xfId="0" applyNumberFormat="1" applyFont="1" applyBorder="1"/>
    <xf numFmtId="0" fontId="129" fillId="4" borderId="19" xfId="0" applyFont="1" applyFill="1" applyBorder="1" applyAlignment="1">
      <alignment horizontal="center"/>
    </xf>
    <xf numFmtId="3" fontId="129" fillId="9" borderId="11" xfId="0" applyNumberFormat="1" applyFont="1" applyFill="1" applyBorder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9" fillId="22" borderId="0" xfId="0" applyNumberFormat="1" applyFont="1" applyFill="1" applyAlignment="1">
      <alignment horizontal="center"/>
    </xf>
    <xf numFmtId="3" fontId="68" fillId="22" borderId="0" xfId="0" applyNumberFormat="1" applyFont="1" applyFill="1" applyAlignment="1">
      <alignment horizontal="right"/>
    </xf>
    <xf numFmtId="0" fontId="79" fillId="22" borderId="0" xfId="0" applyFont="1" applyFill="1" applyAlignment="1">
      <alignment horizontal="center"/>
    </xf>
    <xf numFmtId="4" fontId="79" fillId="22" borderId="0" xfId="0" applyNumberFormat="1" applyFont="1" applyFill="1" applyAlignment="1">
      <alignment horizontal="center"/>
    </xf>
    <xf numFmtId="4" fontId="78" fillId="22" borderId="0" xfId="0" applyNumberFormat="1" applyFont="1" applyFill="1" applyAlignment="1">
      <alignment horizontal="right"/>
    </xf>
    <xf numFmtId="3" fontId="78" fillId="4" borderId="0" xfId="0" applyNumberFormat="1" applyFont="1" applyFill="1"/>
    <xf numFmtId="0" fontId="129" fillId="0" borderId="29" xfId="0" applyFont="1" applyBorder="1" applyAlignment="1">
      <alignment horizontal="center"/>
    </xf>
    <xf numFmtId="0" fontId="129" fillId="0" borderId="24" xfId="0" applyFont="1" applyBorder="1" applyAlignment="1">
      <alignment horizontal="center"/>
    </xf>
    <xf numFmtId="0" fontId="129" fillId="0" borderId="9" xfId="0" applyFont="1" applyBorder="1" applyAlignment="1">
      <alignment wrapText="1"/>
    </xf>
    <xf numFmtId="0" fontId="129" fillId="34" borderId="29" xfId="0" applyFont="1" applyFill="1" applyBorder="1" applyAlignment="1">
      <alignment horizontal="center"/>
    </xf>
    <xf numFmtId="0" fontId="129" fillId="34" borderId="14" xfId="0" applyFont="1" applyFill="1" applyBorder="1" applyAlignment="1">
      <alignment horizontal="center"/>
    </xf>
    <xf numFmtId="0" fontId="129" fillId="34" borderId="8" xfId="0" applyFont="1" applyFill="1" applyBorder="1" applyAlignment="1">
      <alignment wrapText="1"/>
    </xf>
    <xf numFmtId="3" fontId="129" fillId="34" borderId="11" xfId="0" applyNumberFormat="1" applyFont="1" applyFill="1" applyBorder="1"/>
    <xf numFmtId="0" fontId="129" fillId="34" borderId="19" xfId="0" applyFont="1" applyFill="1" applyBorder="1" applyAlignment="1">
      <alignment horizontal="center"/>
    </xf>
    <xf numFmtId="0" fontId="130" fillId="3" borderId="2" xfId="0" applyFont="1" applyFill="1" applyBorder="1"/>
    <xf numFmtId="0" fontId="130" fillId="3" borderId="30" xfId="0" applyFont="1" applyFill="1" applyBorder="1"/>
    <xf numFmtId="0" fontId="130" fillId="3" borderId="6" xfId="0" applyFont="1" applyFill="1" applyBorder="1"/>
    <xf numFmtId="3" fontId="130" fillId="3" borderId="3" xfId="0" applyNumberFormat="1" applyFont="1" applyFill="1" applyBorder="1"/>
    <xf numFmtId="0" fontId="131" fillId="22" borderId="0" xfId="0" applyFont="1" applyFill="1"/>
    <xf numFmtId="0" fontId="128" fillId="0" borderId="0" xfId="0" applyFont="1" applyAlignment="1">
      <alignment horizontal="center"/>
    </xf>
    <xf numFmtId="0" fontId="129" fillId="0" borderId="0" xfId="0" applyFont="1" applyAlignment="1">
      <alignment wrapText="1"/>
    </xf>
    <xf numFmtId="3" fontId="128" fillId="0" borderId="0" xfId="0" applyNumberFormat="1" applyFont="1" applyAlignment="1">
      <alignment horizontal="right"/>
    </xf>
    <xf numFmtId="49" fontId="68" fillId="22" borderId="0" xfId="0" applyNumberFormat="1" applyFont="1" applyFill="1" applyAlignment="1">
      <alignment horizontal="center"/>
    </xf>
    <xf numFmtId="4" fontId="68" fillId="22" borderId="0" xfId="0" applyNumberFormat="1" applyFont="1" applyFill="1" applyAlignment="1">
      <alignment horizontal="center"/>
    </xf>
    <xf numFmtId="0" fontId="132" fillId="0" borderId="1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4" fontId="78" fillId="22" borderId="0" xfId="0" applyNumberFormat="1" applyFont="1" applyFill="1" applyAlignment="1">
      <alignment vertical="center"/>
    </xf>
    <xf numFmtId="0" fontId="130" fillId="0" borderId="73" xfId="0" applyFont="1" applyBorder="1" applyAlignment="1">
      <alignment horizontal="center" vertical="center"/>
    </xf>
    <xf numFmtId="0" fontId="130" fillId="0" borderId="24" xfId="0" applyFont="1" applyBorder="1" applyAlignment="1">
      <alignment horizontal="center" vertical="center"/>
    </xf>
    <xf numFmtId="0" fontId="130" fillId="0" borderId="14" xfId="0" applyFont="1" applyBorder="1" applyAlignment="1">
      <alignment horizontal="center"/>
    </xf>
    <xf numFmtId="0" fontId="133" fillId="0" borderId="9" xfId="0" applyFont="1" applyBorder="1" applyAlignment="1">
      <alignment vertical="center" wrapText="1"/>
    </xf>
    <xf numFmtId="3" fontId="133" fillId="0" borderId="12" xfId="0" applyNumberFormat="1" applyFont="1" applyBorder="1" applyAlignment="1">
      <alignment vertical="center"/>
    </xf>
    <xf numFmtId="3" fontId="79" fillId="22" borderId="0" xfId="0" applyNumberFormat="1" applyFont="1" applyFill="1" applyAlignment="1">
      <alignment vertical="center"/>
    </xf>
    <xf numFmtId="0" fontId="79" fillId="22" borderId="0" xfId="0" applyFont="1" applyFill="1" applyAlignment="1">
      <alignment vertical="center"/>
    </xf>
    <xf numFmtId="0" fontId="131" fillId="22" borderId="0" xfId="0" applyFont="1" applyFill="1" applyAlignment="1">
      <alignment vertical="center"/>
    </xf>
    <xf numFmtId="0" fontId="130" fillId="4" borderId="58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/>
    </xf>
    <xf numFmtId="0" fontId="133" fillId="4" borderId="8" xfId="0" applyFont="1" applyFill="1" applyBorder="1" applyAlignment="1">
      <alignment vertical="center" wrapText="1"/>
    </xf>
    <xf numFmtId="3" fontId="133" fillId="4" borderId="11" xfId="0" applyNumberFormat="1" applyFont="1" applyFill="1" applyBorder="1" applyAlignment="1">
      <alignment vertical="center"/>
    </xf>
    <xf numFmtId="0" fontId="130" fillId="4" borderId="59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/>
    </xf>
    <xf numFmtId="0" fontId="133" fillId="4" borderId="39" xfId="0" applyFont="1" applyFill="1" applyBorder="1" applyAlignment="1">
      <alignment vertical="center" wrapText="1"/>
    </xf>
    <xf numFmtId="3" fontId="133" fillId="4" borderId="36" xfId="0" applyNumberFormat="1" applyFont="1" applyFill="1" applyBorder="1" applyAlignment="1">
      <alignment vertical="center"/>
    </xf>
    <xf numFmtId="3" fontId="128" fillId="3" borderId="3" xfId="0" applyNumberFormat="1" applyFont="1" applyFill="1" applyBorder="1"/>
    <xf numFmtId="0" fontId="129" fillId="5" borderId="0" xfId="3" applyFont="1" applyFill="1"/>
    <xf numFmtId="0" fontId="128" fillId="22" borderId="0" xfId="0" applyFont="1" applyFill="1" applyAlignment="1">
      <alignment horizontal="center"/>
    </xf>
    <xf numFmtId="0" fontId="129" fillId="22" borderId="0" xfId="0" applyFont="1" applyFill="1" applyAlignment="1">
      <alignment wrapText="1"/>
    </xf>
    <xf numFmtId="3" fontId="128" fillId="22" borderId="0" xfId="0" applyNumberFormat="1" applyFont="1" applyFill="1"/>
    <xf numFmtId="0" fontId="134" fillId="0" borderId="0" xfId="0" applyFont="1" applyAlignment="1">
      <alignment horizontal="center"/>
    </xf>
    <xf numFmtId="0" fontId="134" fillId="0" borderId="0" xfId="0" applyFont="1"/>
    <xf numFmtId="0" fontId="97" fillId="0" borderId="0" xfId="0" applyFont="1"/>
    <xf numFmtId="0" fontId="135" fillId="0" borderId="0" xfId="0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7" fillId="0" borderId="0" xfId="0" applyNumberFormat="1" applyFont="1"/>
    <xf numFmtId="166" fontId="97" fillId="0" borderId="0" xfId="0" applyNumberFormat="1" applyFont="1" applyAlignment="1">
      <alignment horizontal="right"/>
    </xf>
    <xf numFmtId="170" fontId="97" fillId="0" borderId="0" xfId="0" applyNumberFormat="1" applyFont="1"/>
    <xf numFmtId="171" fontId="134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3" fontId="135" fillId="0" borderId="0" xfId="0" applyNumberFormat="1" applyFont="1" applyAlignment="1">
      <alignment horizontal="center"/>
    </xf>
    <xf numFmtId="0" fontId="97" fillId="2" borderId="1" xfId="5" applyFont="1" applyFill="1" applyBorder="1" applyAlignment="1">
      <alignment horizontal="center" vertical="center"/>
    </xf>
    <xf numFmtId="0" fontId="97" fillId="2" borderId="2" xfId="5" applyFont="1" applyFill="1" applyBorder="1" applyAlignment="1">
      <alignment horizontal="center" vertical="center" wrapText="1"/>
    </xf>
    <xf numFmtId="0" fontId="97" fillId="2" borderId="3" xfId="5" applyFont="1" applyFill="1" applyBorder="1" applyAlignment="1">
      <alignment horizontal="center" vertical="center" wrapText="1"/>
    </xf>
    <xf numFmtId="0" fontId="97" fillId="4" borderId="3" xfId="5" applyFont="1" applyFill="1" applyBorder="1" applyAlignment="1">
      <alignment horizontal="center" vertical="center" wrapText="1"/>
    </xf>
    <xf numFmtId="0" fontId="135" fillId="4" borderId="2" xfId="5" applyFont="1" applyFill="1" applyBorder="1" applyAlignment="1">
      <alignment horizontal="center" vertical="center" wrapText="1"/>
    </xf>
    <xf numFmtId="0" fontId="135" fillId="4" borderId="50" xfId="5" applyFont="1" applyFill="1" applyBorder="1" applyAlignment="1">
      <alignment horizontal="center" vertical="center" wrapText="1"/>
    </xf>
    <xf numFmtId="0" fontId="97" fillId="6" borderId="2" xfId="5" applyFont="1" applyFill="1" applyBorder="1" applyAlignment="1">
      <alignment horizontal="center" vertical="center" wrapText="1"/>
    </xf>
    <xf numFmtId="0" fontId="97" fillId="2" borderId="56" xfId="5" applyFont="1" applyFill="1" applyBorder="1" applyAlignment="1">
      <alignment horizontal="center" vertical="center" wrapText="1"/>
    </xf>
    <xf numFmtId="0" fontId="97" fillId="4" borderId="56" xfId="5" applyFont="1" applyFill="1" applyBorder="1" applyAlignment="1">
      <alignment horizontal="center" vertical="center" wrapText="1"/>
    </xf>
    <xf numFmtId="0" fontId="135" fillId="4" borderId="56" xfId="5" applyFont="1" applyFill="1" applyBorder="1" applyAlignment="1">
      <alignment horizontal="center" vertical="center" wrapText="1"/>
    </xf>
    <xf numFmtId="0" fontId="135" fillId="4" borderId="5" xfId="5" applyFont="1" applyFill="1" applyBorder="1" applyAlignment="1">
      <alignment horizontal="center" vertical="center" wrapText="1"/>
    </xf>
    <xf numFmtId="0" fontId="134" fillId="2" borderId="2" xfId="5" applyFont="1" applyFill="1" applyBorder="1" applyAlignment="1">
      <alignment vertical="center"/>
    </xf>
    <xf numFmtId="0" fontId="134" fillId="2" borderId="30" xfId="5" applyFont="1" applyFill="1" applyBorder="1" applyAlignment="1">
      <alignment vertical="center"/>
    </xf>
    <xf numFmtId="0" fontId="97" fillId="2" borderId="30" xfId="5" applyFont="1" applyFill="1" applyBorder="1" applyAlignment="1">
      <alignment vertical="center"/>
    </xf>
    <xf numFmtId="3" fontId="97" fillId="2" borderId="30" xfId="5" applyNumberFormat="1" applyFont="1" applyFill="1" applyBorder="1" applyAlignment="1">
      <alignment vertical="center"/>
    </xf>
    <xf numFmtId="0" fontId="135" fillId="2" borderId="1" xfId="5" applyFont="1" applyFill="1" applyBorder="1" applyAlignment="1">
      <alignment horizontal="center" vertical="center" wrapText="1"/>
    </xf>
    <xf numFmtId="0" fontId="135" fillId="2" borderId="5" xfId="5" applyFont="1" applyFill="1" applyBorder="1" applyAlignment="1">
      <alignment horizontal="center" vertical="center" wrapText="1"/>
    </xf>
    <xf numFmtId="0" fontId="135" fillId="5" borderId="5" xfId="5" applyFont="1" applyFill="1" applyBorder="1" applyAlignment="1">
      <alignment horizontal="center" vertical="center" wrapText="1"/>
    </xf>
    <xf numFmtId="0" fontId="135" fillId="2" borderId="50" xfId="5" applyFont="1" applyFill="1" applyBorder="1" applyAlignment="1">
      <alignment horizontal="center" vertical="center" wrapText="1"/>
    </xf>
    <xf numFmtId="0" fontId="136" fillId="6" borderId="2" xfId="5" applyFont="1" applyFill="1" applyBorder="1" applyAlignment="1">
      <alignment horizontal="center" vertical="center" wrapText="1"/>
    </xf>
    <xf numFmtId="0" fontId="135" fillId="11" borderId="5" xfId="5" applyFont="1" applyFill="1" applyBorder="1" applyAlignment="1">
      <alignment horizontal="center" vertical="center" wrapText="1"/>
    </xf>
    <xf numFmtId="0" fontId="135" fillId="2" borderId="6" xfId="5" applyFont="1" applyFill="1" applyBorder="1" applyAlignment="1">
      <alignment horizontal="center" vertical="center" wrapText="1"/>
    </xf>
    <xf numFmtId="0" fontId="135" fillId="2" borderId="3" xfId="5" applyFont="1" applyFill="1" applyBorder="1" applyAlignment="1">
      <alignment horizontal="center" vertical="center" wrapText="1"/>
    </xf>
    <xf numFmtId="0" fontId="97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6" xfId="0" applyNumberFormat="1" applyFont="1" applyBorder="1"/>
    <xf numFmtId="3" fontId="134" fillId="0" borderId="23" xfId="0" applyNumberFormat="1" applyFont="1" applyBorder="1"/>
    <xf numFmtId="3" fontId="134" fillId="0" borderId="25" xfId="0" applyNumberFormat="1" applyFont="1" applyBorder="1"/>
    <xf numFmtId="3" fontId="135" fillId="0" borderId="25" xfId="0" applyNumberFormat="1" applyFont="1" applyBorder="1"/>
    <xf numFmtId="3" fontId="135" fillId="0" borderId="26" xfId="0" applyNumberFormat="1" applyFont="1" applyBorder="1"/>
    <xf numFmtId="3" fontId="135" fillId="6" borderId="17" xfId="0" applyNumberFormat="1" applyFont="1" applyFill="1" applyBorder="1"/>
    <xf numFmtId="3" fontId="134" fillId="0" borderId="7" xfId="0" applyNumberFormat="1" applyFont="1" applyBorder="1"/>
    <xf numFmtId="3" fontId="134" fillId="0" borderId="0" xfId="0" applyNumberFormat="1" applyFont="1"/>
    <xf numFmtId="3" fontId="97" fillId="0" borderId="10" xfId="0" applyNumberFormat="1" applyFont="1" applyBorder="1"/>
    <xf numFmtId="3" fontId="134" fillId="22" borderId="0" xfId="0" applyNumberFormat="1" applyFont="1" applyFill="1"/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14" xfId="0" applyNumberFormat="1" applyFont="1" applyBorder="1"/>
    <xf numFmtId="3" fontId="135" fillId="0" borderId="14" xfId="0" applyNumberFormat="1" applyFont="1" applyBorder="1"/>
    <xf numFmtId="3" fontId="135" fillId="0" borderId="70" xfId="0" applyNumberFormat="1" applyFont="1" applyBorder="1"/>
    <xf numFmtId="3" fontId="136" fillId="6" borderId="58" xfId="0" applyNumberFormat="1" applyFont="1" applyFill="1" applyBorder="1"/>
    <xf numFmtId="3" fontId="134" fillId="0" borderId="8" xfId="0" applyNumberFormat="1" applyFont="1" applyBorder="1"/>
    <xf numFmtId="0" fontId="97" fillId="3" borderId="32" xfId="0" applyFont="1" applyFill="1" applyBorder="1" applyAlignment="1">
      <alignment horizontal="center" wrapText="1"/>
    </xf>
    <xf numFmtId="0" fontId="97" fillId="3" borderId="33" xfId="0" applyFont="1" applyFill="1" applyBorder="1" applyAlignment="1">
      <alignment wrapText="1"/>
    </xf>
    <xf numFmtId="3" fontId="97" fillId="3" borderId="34" xfId="0" applyNumberFormat="1" applyFont="1" applyFill="1" applyBorder="1"/>
    <xf numFmtId="3" fontId="97" fillId="3" borderId="40" xfId="0" applyNumberFormat="1" applyFont="1" applyFill="1" applyBorder="1"/>
    <xf numFmtId="3" fontId="97" fillId="3" borderId="37" xfId="0" applyNumberFormat="1" applyFont="1" applyFill="1" applyBorder="1"/>
    <xf numFmtId="3" fontId="98" fillId="3" borderId="37" xfId="0" applyNumberFormat="1" applyFont="1" applyFill="1" applyBorder="1"/>
    <xf numFmtId="3" fontId="98" fillId="3" borderId="49" xfId="0" applyNumberFormat="1" applyFont="1" applyFill="1" applyBorder="1"/>
    <xf numFmtId="3" fontId="94" fillId="6" borderId="32" xfId="0" applyNumberFormat="1" applyFont="1" applyFill="1" applyBorder="1"/>
    <xf numFmtId="3" fontId="97" fillId="3" borderId="35" xfId="0" applyNumberFormat="1" applyFont="1" applyFill="1" applyBorder="1"/>
    <xf numFmtId="0" fontId="134" fillId="3" borderId="25" xfId="0" applyFont="1" applyFill="1" applyBorder="1" applyAlignment="1">
      <alignment horizontal="center"/>
    </xf>
    <xf numFmtId="3" fontId="134" fillId="6" borderId="17" xfId="0" applyNumberFormat="1" applyFont="1" applyFill="1" applyBorder="1"/>
    <xf numFmtId="3" fontId="134" fillId="6" borderId="58" xfId="0" applyNumberFormat="1" applyFont="1" applyFill="1" applyBorder="1"/>
    <xf numFmtId="3" fontId="134" fillId="11" borderId="14" xfId="0" applyNumberFormat="1" applyFont="1" applyFill="1" applyBorder="1"/>
    <xf numFmtId="3" fontId="135" fillId="22" borderId="0" xfId="0" applyNumberFormat="1" applyFont="1" applyFill="1"/>
    <xf numFmtId="3" fontId="135" fillId="4" borderId="14" xfId="0" applyNumberFormat="1" applyFont="1" applyFill="1" applyBorder="1"/>
    <xf numFmtId="3" fontId="136" fillId="21" borderId="58" xfId="0" applyNumberFormat="1" applyFont="1" applyFill="1" applyBorder="1"/>
    <xf numFmtId="3" fontId="134" fillId="4" borderId="14" xfId="0" applyNumberFormat="1" applyFont="1" applyFill="1" applyBorder="1"/>
    <xf numFmtId="4" fontId="134" fillId="4" borderId="0" xfId="0" applyNumberFormat="1" applyFont="1" applyFill="1" applyAlignment="1">
      <alignment horizontal="center"/>
    </xf>
    <xf numFmtId="0" fontId="97" fillId="22" borderId="0" xfId="0" applyFont="1" applyFill="1"/>
    <xf numFmtId="3" fontId="135" fillId="21" borderId="14" xfId="0" applyNumberFormat="1" applyFont="1" applyFill="1" applyBorder="1"/>
    <xf numFmtId="3" fontId="135" fillId="5" borderId="14" xfId="0" applyNumberFormat="1" applyFont="1" applyFill="1" applyBorder="1"/>
    <xf numFmtId="3" fontId="134" fillId="9" borderId="14" xfId="0" applyNumberFormat="1" applyFont="1" applyFill="1" applyBorder="1"/>
    <xf numFmtId="0" fontId="134" fillId="3" borderId="62" xfId="0" applyFont="1" applyFill="1" applyBorder="1" applyAlignment="1">
      <alignment horizontal="center"/>
    </xf>
    <xf numFmtId="0" fontId="134" fillId="3" borderId="43" xfId="0" applyFont="1" applyFill="1" applyBorder="1" applyAlignment="1">
      <alignment wrapText="1"/>
    </xf>
    <xf numFmtId="3" fontId="97" fillId="0" borderId="12" xfId="0" applyNumberFormat="1" applyFont="1" applyBorder="1"/>
    <xf numFmtId="3" fontId="134" fillId="0" borderId="29" xfId="0" applyNumberFormat="1" applyFont="1" applyBorder="1"/>
    <xf numFmtId="3" fontId="134" fillId="0" borderId="24" xfId="0" applyNumberFormat="1" applyFont="1" applyBorder="1"/>
    <xf numFmtId="3" fontId="135" fillId="0" borderId="24" xfId="0" applyNumberFormat="1" applyFont="1" applyBorder="1"/>
    <xf numFmtId="3" fontId="135" fillId="0" borderId="72" xfId="0" applyNumberFormat="1" applyFont="1" applyBorder="1"/>
    <xf numFmtId="3" fontId="134" fillId="6" borderId="73" xfId="0" applyNumberFormat="1" applyFont="1" applyFill="1" applyBorder="1"/>
    <xf numFmtId="3" fontId="134" fillId="0" borderId="9" xfId="0" applyNumberFormat="1" applyFont="1" applyBorder="1"/>
    <xf numFmtId="3" fontId="134" fillId="0" borderId="18" xfId="0" applyNumberFormat="1" applyFont="1" applyBorder="1"/>
    <xf numFmtId="3" fontId="97" fillId="0" borderId="13" xfId="0" applyNumberFormat="1" applyFont="1" applyBorder="1"/>
    <xf numFmtId="3" fontId="98" fillId="0" borderId="13" xfId="0" applyNumberFormat="1" applyFont="1" applyBorder="1"/>
    <xf numFmtId="3" fontId="98" fillId="0" borderId="71" xfId="0" applyNumberFormat="1" applyFont="1" applyBorder="1"/>
    <xf numFmtId="3" fontId="97" fillId="6" borderId="15" xfId="0" applyNumberFormat="1" applyFont="1" applyFill="1" applyBorder="1"/>
    <xf numFmtId="3" fontId="97" fillId="0" borderId="31" xfId="0" applyNumberFormat="1" applyFont="1" applyBorder="1"/>
    <xf numFmtId="3" fontId="97" fillId="0" borderId="36" xfId="0" applyNumberFormat="1" applyFont="1" applyBorder="1"/>
    <xf numFmtId="0" fontId="134" fillId="3" borderId="0" xfId="0" applyFont="1" applyFill="1" applyAlignment="1">
      <alignment horizontal="center"/>
    </xf>
    <xf numFmtId="3" fontId="134" fillId="0" borderId="41" xfId="0" applyNumberFormat="1" applyFont="1" applyBorder="1"/>
    <xf numFmtId="3" fontId="97" fillId="0" borderId="38" xfId="0" applyNumberFormat="1" applyFont="1" applyBorder="1"/>
    <xf numFmtId="3" fontId="98" fillId="0" borderId="38" xfId="0" applyNumberFormat="1" applyFont="1" applyBorder="1"/>
    <xf numFmtId="3" fontId="98" fillId="0" borderId="69" xfId="0" applyNumberFormat="1" applyFont="1" applyBorder="1"/>
    <xf numFmtId="3" fontId="97" fillId="6" borderId="59" xfId="0" applyNumberFormat="1" applyFont="1" applyFill="1" applyBorder="1"/>
    <xf numFmtId="3" fontId="97" fillId="0" borderId="39" xfId="0" applyNumberFormat="1" applyFont="1" applyBorder="1"/>
    <xf numFmtId="4" fontId="97" fillId="0" borderId="36" xfId="0" applyNumberFormat="1" applyFont="1" applyBorder="1"/>
    <xf numFmtId="3" fontId="97" fillId="0" borderId="41" xfId="0" applyNumberFormat="1" applyFont="1" applyBorder="1"/>
    <xf numFmtId="0" fontId="134" fillId="3" borderId="26" xfId="0" applyFont="1" applyFill="1" applyBorder="1" applyAlignment="1">
      <alignment horizontal="center"/>
    </xf>
    <xf numFmtId="0" fontId="134" fillId="3" borderId="27" xfId="0" applyFont="1" applyFill="1" applyBorder="1" applyAlignment="1">
      <alignment wrapText="1"/>
    </xf>
    <xf numFmtId="3" fontId="134" fillId="5" borderId="14" xfId="0" applyNumberFormat="1" applyFont="1" applyFill="1" applyBorder="1"/>
    <xf numFmtId="3" fontId="135" fillId="5" borderId="70" xfId="0" applyNumberFormat="1" applyFont="1" applyFill="1" applyBorder="1"/>
    <xf numFmtId="3" fontId="134" fillId="34" borderId="14" xfId="0" applyNumberFormat="1" applyFont="1" applyFill="1" applyBorder="1"/>
    <xf numFmtId="0" fontId="137" fillId="3" borderId="25" xfId="0" applyFont="1" applyFill="1" applyBorder="1" applyAlignment="1">
      <alignment horizontal="center"/>
    </xf>
    <xf numFmtId="0" fontId="137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137" fillId="0" borderId="19" xfId="0" applyNumberFormat="1" applyFont="1" applyBorder="1"/>
    <xf numFmtId="3" fontId="137" fillId="0" borderId="14" xfId="0" applyNumberFormat="1" applyFont="1" applyBorder="1"/>
    <xf numFmtId="3" fontId="137" fillId="0" borderId="24" xfId="0" applyNumberFormat="1" applyFont="1" applyBorder="1"/>
    <xf numFmtId="3" fontId="137" fillId="0" borderId="70" xfId="0" applyNumberFormat="1" applyFont="1" applyBorder="1"/>
    <xf numFmtId="3" fontId="137" fillId="0" borderId="8" xfId="0" applyNumberFormat="1" applyFont="1" applyBorder="1"/>
    <xf numFmtId="3" fontId="137" fillId="0" borderId="0" xfId="0" applyNumberFormat="1" applyFont="1"/>
    <xf numFmtId="4" fontId="137" fillId="0" borderId="0" xfId="0" applyNumberFormat="1" applyFont="1"/>
    <xf numFmtId="4" fontId="137" fillId="0" borderId="0" xfId="0" applyNumberFormat="1" applyFont="1" applyAlignment="1">
      <alignment horizontal="center"/>
    </xf>
    <xf numFmtId="0" fontId="137" fillId="22" borderId="0" xfId="0" applyFont="1" applyFill="1"/>
    <xf numFmtId="3" fontId="137" fillId="22" borderId="0" xfId="0" applyNumberFormat="1" applyFont="1" applyFill="1"/>
    <xf numFmtId="0" fontId="135" fillId="3" borderId="25" xfId="0" applyFont="1" applyFill="1" applyBorder="1" applyAlignment="1">
      <alignment horizontal="center"/>
    </xf>
    <xf numFmtId="0" fontId="135" fillId="3" borderId="7" xfId="0" applyFont="1" applyFill="1" applyBorder="1" applyAlignment="1">
      <alignment wrapText="1"/>
    </xf>
    <xf numFmtId="3" fontId="98" fillId="0" borderId="11" xfId="0" applyNumberFormat="1" applyFont="1" applyBorder="1"/>
    <xf numFmtId="3" fontId="135" fillId="0" borderId="19" xfId="0" applyNumberFormat="1" applyFont="1" applyBorder="1"/>
    <xf numFmtId="3" fontId="135" fillId="0" borderId="21" xfId="0" applyNumberFormat="1" applyFont="1" applyBorder="1"/>
    <xf numFmtId="3" fontId="135" fillId="6" borderId="58" xfId="0" applyNumberFormat="1" applyFont="1" applyFill="1" applyBorder="1"/>
    <xf numFmtId="3" fontId="135" fillId="0" borderId="8" xfId="0" applyNumberFormat="1" applyFont="1" applyBorder="1"/>
    <xf numFmtId="3" fontId="135" fillId="0" borderId="0" xfId="0" applyNumberFormat="1" applyFont="1"/>
    <xf numFmtId="4" fontId="135" fillId="0" borderId="0" xfId="0" applyNumberFormat="1" applyFont="1"/>
    <xf numFmtId="4" fontId="135" fillId="0" borderId="0" xfId="0" applyNumberFormat="1" applyFont="1" applyAlignment="1">
      <alignment horizontal="center"/>
    </xf>
    <xf numFmtId="0" fontId="135" fillId="22" borderId="0" xfId="0" applyFont="1" applyFill="1"/>
    <xf numFmtId="3" fontId="97" fillId="0" borderId="29" xfId="0" applyNumberFormat="1" applyFont="1" applyBorder="1"/>
    <xf numFmtId="3" fontId="97" fillId="0" borderId="24" xfId="0" applyNumberFormat="1" applyFont="1" applyBorder="1"/>
    <xf numFmtId="3" fontId="98" fillId="0" borderId="24" xfId="0" applyNumberFormat="1" applyFont="1" applyBorder="1"/>
    <xf numFmtId="3" fontId="98" fillId="0" borderId="72" xfId="0" applyNumberFormat="1" applyFont="1" applyBorder="1"/>
    <xf numFmtId="3" fontId="97" fillId="6" borderId="73" xfId="0" applyNumberFormat="1" applyFont="1" applyFill="1" applyBorder="1"/>
    <xf numFmtId="3" fontId="97" fillId="0" borderId="9" xfId="0" applyNumberFormat="1" applyFont="1" applyBorder="1"/>
    <xf numFmtId="0" fontId="134" fillId="3" borderId="28" xfId="0" applyFont="1" applyFill="1" applyBorder="1" applyAlignment="1">
      <alignment wrapText="1"/>
    </xf>
    <xf numFmtId="3" fontId="97" fillId="3" borderId="3" xfId="0" applyNumberFormat="1" applyFont="1" applyFill="1" applyBorder="1"/>
    <xf numFmtId="3" fontId="97" fillId="3" borderId="1" xfId="0" applyNumberFormat="1" applyFont="1" applyFill="1" applyBorder="1"/>
    <xf numFmtId="3" fontId="97" fillId="3" borderId="5" xfId="0" applyNumberFormat="1" applyFont="1" applyFill="1" applyBorder="1"/>
    <xf numFmtId="3" fontId="98" fillId="3" borderId="5" xfId="0" applyNumberFormat="1" applyFont="1" applyFill="1" applyBorder="1"/>
    <xf numFmtId="3" fontId="98" fillId="3" borderId="50" xfId="0" applyNumberFormat="1" applyFont="1" applyFill="1" applyBorder="1"/>
    <xf numFmtId="3" fontId="94" fillId="6" borderId="2" xfId="0" applyNumberFormat="1" applyFont="1" applyFill="1" applyBorder="1"/>
    <xf numFmtId="3" fontId="97" fillId="3" borderId="6" xfId="0" applyNumberFormat="1" applyFont="1" applyFill="1" applyBorder="1"/>
    <xf numFmtId="3" fontId="97" fillId="3" borderId="3" xfId="0" applyNumberFormat="1" applyFont="1" applyFill="1" applyBorder="1" applyAlignment="1">
      <alignment horizontal="right"/>
    </xf>
    <xf numFmtId="3" fontId="97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94" fillId="5" borderId="0" xfId="0" applyNumberFormat="1" applyFont="1" applyFill="1"/>
    <xf numFmtId="3" fontId="98" fillId="5" borderId="0" xfId="0" applyNumberFormat="1" applyFont="1" applyFill="1"/>
    <xf numFmtId="166" fontId="134" fillId="5" borderId="0" xfId="0" applyNumberFormat="1" applyFont="1" applyFill="1" applyAlignment="1">
      <alignment horizontal="right"/>
    </xf>
    <xf numFmtId="0" fontId="134" fillId="5" borderId="0" xfId="0" applyFont="1" applyFill="1"/>
    <xf numFmtId="3" fontId="134" fillId="5" borderId="0" xfId="0" applyNumberFormat="1" applyFont="1" applyFill="1"/>
    <xf numFmtId="3" fontId="135" fillId="5" borderId="0" xfId="0" applyNumberFormat="1" applyFont="1" applyFill="1" applyAlignment="1">
      <alignment horizontal="center"/>
    </xf>
    <xf numFmtId="3" fontId="136" fillId="5" borderId="0" xfId="0" applyNumberFormat="1" applyFont="1" applyFill="1" applyAlignment="1">
      <alignment horizontal="center"/>
    </xf>
    <xf numFmtId="0" fontId="134" fillId="5" borderId="0" xfId="3" applyFont="1" applyFill="1"/>
    <xf numFmtId="3" fontId="138" fillId="22" borderId="0" xfId="0" applyNumberFormat="1" applyFont="1" applyFill="1"/>
    <xf numFmtId="4" fontId="134" fillId="22" borderId="0" xfId="0" applyNumberFormat="1" applyFont="1" applyFill="1"/>
    <xf numFmtId="4" fontId="134" fillId="22" borderId="0" xfId="0" applyNumberFormat="1" applyFont="1" applyFill="1" applyAlignment="1">
      <alignment horizontal="center"/>
    </xf>
    <xf numFmtId="0" fontId="134" fillId="22" borderId="0" xfId="0" applyFont="1" applyFill="1" applyAlignment="1">
      <alignment horizontal="center"/>
    </xf>
    <xf numFmtId="3" fontId="97" fillId="22" borderId="0" xfId="0" applyNumberFormat="1" applyFont="1" applyFill="1"/>
    <xf numFmtId="4" fontId="135" fillId="22" borderId="0" xfId="0" applyNumberFormat="1" applyFont="1" applyFill="1"/>
    <xf numFmtId="3" fontId="139" fillId="22" borderId="0" xfId="0" applyNumberFormat="1" applyFont="1" applyFill="1"/>
    <xf numFmtId="0" fontId="134" fillId="10" borderId="0" xfId="0" applyFont="1" applyFill="1"/>
    <xf numFmtId="0" fontId="97" fillId="10" borderId="0" xfId="0" applyFont="1" applyFill="1" applyAlignment="1">
      <alignment horizontal="center"/>
    </xf>
    <xf numFmtId="3" fontId="134" fillId="10" borderId="0" xfId="0" applyNumberFormat="1" applyFont="1" applyFill="1"/>
    <xf numFmtId="3" fontId="135" fillId="10" borderId="0" xfId="0" applyNumberFormat="1" applyFont="1" applyFill="1"/>
    <xf numFmtId="0" fontId="97" fillId="8" borderId="0" xfId="0" applyFont="1" applyFill="1"/>
    <xf numFmtId="0" fontId="97" fillId="8" borderId="0" xfId="0" applyFont="1" applyFill="1" applyAlignment="1">
      <alignment horizontal="center"/>
    </xf>
    <xf numFmtId="3" fontId="134" fillId="8" borderId="0" xfId="0" applyNumberFormat="1" applyFont="1" applyFill="1"/>
    <xf numFmtId="3" fontId="135" fillId="8" borderId="0" xfId="0" applyNumberFormat="1" applyFont="1" applyFill="1"/>
    <xf numFmtId="0" fontId="134" fillId="8" borderId="0" xfId="0" applyFont="1" applyFill="1"/>
    <xf numFmtId="3" fontId="97" fillId="8" borderId="0" xfId="0" applyNumberFormat="1" applyFont="1" applyFill="1" applyAlignment="1">
      <alignment horizontal="center"/>
    </xf>
    <xf numFmtId="3" fontId="135" fillId="8" borderId="47" xfId="0" applyNumberFormat="1" applyFont="1" applyFill="1" applyBorder="1"/>
    <xf numFmtId="0" fontId="97" fillId="0" borderId="44" xfId="0" applyFont="1" applyBorder="1" applyAlignment="1">
      <alignment vertical="center"/>
    </xf>
    <xf numFmtId="0" fontId="97" fillId="0" borderId="37" xfId="0" applyFont="1" applyBorder="1" applyAlignment="1">
      <alignment vertical="center"/>
    </xf>
    <xf numFmtId="0" fontId="97" fillId="0" borderId="37" xfId="0" applyFont="1" applyBorder="1" applyAlignment="1">
      <alignment horizontal="center" vertical="center"/>
    </xf>
    <xf numFmtId="3" fontId="97" fillId="0" borderId="37" xfId="0" applyNumberFormat="1" applyFont="1" applyBorder="1" applyAlignment="1">
      <alignment horizontal="center" vertical="center" wrapText="1"/>
    </xf>
    <xf numFmtId="3" fontId="98" fillId="4" borderId="52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center"/>
    </xf>
    <xf numFmtId="3" fontId="97" fillId="0" borderId="0" xfId="0" applyNumberFormat="1" applyFont="1" applyAlignment="1">
      <alignment horizontal="center"/>
    </xf>
    <xf numFmtId="9" fontId="97" fillId="0" borderId="46" xfId="8" applyFont="1" applyBorder="1" applyAlignment="1">
      <alignment horizontal="center"/>
    </xf>
    <xf numFmtId="0" fontId="97" fillId="8" borderId="85" xfId="0" applyFont="1" applyFill="1" applyBorder="1"/>
    <xf numFmtId="0" fontId="97" fillId="8" borderId="86" xfId="0" applyFont="1" applyFill="1" applyBorder="1"/>
    <xf numFmtId="0" fontId="97" fillId="8" borderId="86" xfId="0" applyFont="1" applyFill="1" applyBorder="1" applyAlignment="1">
      <alignment horizontal="center"/>
    </xf>
    <xf numFmtId="3" fontId="97" fillId="8" borderId="88" xfId="0" applyNumberFormat="1" applyFont="1" applyFill="1" applyBorder="1"/>
    <xf numFmtId="3" fontId="97" fillId="8" borderId="87" xfId="0" applyNumberFormat="1" applyFont="1" applyFill="1" applyBorder="1"/>
    <xf numFmtId="3" fontId="98" fillId="0" borderId="0" xfId="0" applyNumberFormat="1" applyFont="1" applyAlignment="1">
      <alignment horizontal="right"/>
    </xf>
    <xf numFmtId="0" fontId="135" fillId="0" borderId="59" xfId="0" applyFont="1" applyBorder="1"/>
    <xf numFmtId="0" fontId="135" fillId="0" borderId="90" xfId="0" applyFont="1" applyBorder="1" applyAlignment="1">
      <alignment horizontal="right"/>
    </xf>
    <xf numFmtId="0" fontId="98" fillId="0" borderId="25" xfId="0" applyFont="1" applyBorder="1" applyAlignment="1">
      <alignment horizontal="center"/>
    </xf>
    <xf numFmtId="3" fontId="135" fillId="0" borderId="27" xfId="0" applyNumberFormat="1" applyFont="1" applyBorder="1"/>
    <xf numFmtId="3" fontId="135" fillId="0" borderId="0" xfId="0" applyNumberFormat="1" applyFont="1" applyAlignment="1">
      <alignment horizontal="right"/>
    </xf>
    <xf numFmtId="0" fontId="135" fillId="0" borderId="14" xfId="0" applyFont="1" applyBorder="1" applyAlignment="1">
      <alignment horizontal="right"/>
    </xf>
    <xf numFmtId="0" fontId="98" fillId="0" borderId="14" xfId="0" applyFont="1" applyBorder="1" applyAlignment="1">
      <alignment horizontal="center"/>
    </xf>
    <xf numFmtId="3" fontId="135" fillId="0" borderId="43" xfId="0" applyNumberFormat="1" applyFont="1" applyBorder="1"/>
    <xf numFmtId="0" fontId="134" fillId="0" borderId="59" xfId="0" applyFont="1" applyBorder="1"/>
    <xf numFmtId="0" fontId="137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37" fillId="0" borderId="43" xfId="0" applyNumberFormat="1" applyFont="1" applyBorder="1"/>
    <xf numFmtId="0" fontId="139" fillId="0" borderId="59" xfId="0" applyFont="1" applyBorder="1"/>
    <xf numFmtId="0" fontId="139" fillId="0" borderId="14" xfId="0" applyFont="1" applyBorder="1" applyAlignment="1">
      <alignment horizontal="right"/>
    </xf>
    <xf numFmtId="0" fontId="140" fillId="0" borderId="14" xfId="0" applyFont="1" applyBorder="1" applyAlignment="1">
      <alignment horizontal="center"/>
    </xf>
    <xf numFmtId="3" fontId="139" fillId="0" borderId="70" xfId="0" applyNumberFormat="1" applyFont="1" applyBorder="1"/>
    <xf numFmtId="3" fontId="139" fillId="0" borderId="43" xfId="0" applyNumberFormat="1" applyFont="1" applyBorder="1"/>
    <xf numFmtId="0" fontId="139" fillId="22" borderId="0" xfId="0" applyFont="1" applyFill="1"/>
    <xf numFmtId="0" fontId="137" fillId="0" borderId="14" xfId="0" applyFont="1" applyBorder="1" applyAlignment="1">
      <alignment horizontal="right" wrapText="1"/>
    </xf>
    <xf numFmtId="0" fontId="98" fillId="0" borderId="24" xfId="0" applyFont="1" applyBorder="1" applyAlignment="1">
      <alignment horizontal="center"/>
    </xf>
    <xf numFmtId="3" fontId="135" fillId="0" borderId="66" xfId="0" applyNumberFormat="1" applyFont="1" applyBorder="1"/>
    <xf numFmtId="0" fontId="134" fillId="0" borderId="14" xfId="0" applyFont="1" applyBorder="1"/>
    <xf numFmtId="0" fontId="97" fillId="0" borderId="24" xfId="0" applyFont="1" applyBorder="1" applyAlignment="1">
      <alignment horizontal="center"/>
    </xf>
    <xf numFmtId="3" fontId="134" fillId="0" borderId="72" xfId="0" applyNumberFormat="1" applyFont="1" applyBorder="1"/>
    <xf numFmtId="3" fontId="134" fillId="0" borderId="66" xfId="0" applyNumberFormat="1" applyFont="1" applyBorder="1"/>
    <xf numFmtId="0" fontId="97" fillId="8" borderId="83" xfId="0" applyFont="1" applyFill="1" applyBorder="1"/>
    <xf numFmtId="0" fontId="97" fillId="8" borderId="81" xfId="0" applyFont="1" applyFill="1" applyBorder="1"/>
    <xf numFmtId="0" fontId="97" fillId="8" borderId="81" xfId="0" applyFont="1" applyFill="1" applyBorder="1" applyAlignment="1">
      <alignment horizontal="center"/>
    </xf>
    <xf numFmtId="3" fontId="97" fillId="8" borderId="89" xfId="0" applyNumberFormat="1" applyFont="1" applyFill="1" applyBorder="1"/>
    <xf numFmtId="3" fontId="97" fillId="8" borderId="82" xfId="0" applyNumberFormat="1" applyFont="1" applyFill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6" xfId="0" applyNumberFormat="1" applyFont="1" applyBorder="1"/>
    <xf numFmtId="3" fontId="134" fillId="0" borderId="27" xfId="0" applyNumberFormat="1" applyFont="1" applyBorder="1"/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70" xfId="0" applyNumberFormat="1" applyFont="1" applyBorder="1"/>
    <xf numFmtId="3" fontId="134" fillId="0" borderId="43" xfId="0" applyNumberFormat="1" applyFont="1" applyBorder="1"/>
    <xf numFmtId="0" fontId="134" fillId="0" borderId="24" xfId="0" applyFont="1" applyBorder="1" applyAlignment="1">
      <alignment horizontal="right"/>
    </xf>
    <xf numFmtId="0" fontId="134" fillId="34" borderId="59" xfId="0" applyFont="1" applyFill="1" applyBorder="1"/>
    <xf numFmtId="0" fontId="134" fillId="34" borderId="25" xfId="0" applyFont="1" applyFill="1" applyBorder="1" applyAlignment="1">
      <alignment horizontal="right"/>
    </xf>
    <xf numFmtId="0" fontId="97" fillId="34" borderId="25" xfId="0" applyFont="1" applyFill="1" applyBorder="1" applyAlignment="1">
      <alignment horizontal="center"/>
    </xf>
    <xf numFmtId="3" fontId="134" fillId="34" borderId="26" xfId="0" applyNumberFormat="1" applyFont="1" applyFill="1" applyBorder="1"/>
    <xf numFmtId="3" fontId="134" fillId="34" borderId="27" xfId="0" applyNumberFormat="1" applyFont="1" applyFill="1" applyBorder="1"/>
    <xf numFmtId="0" fontId="134" fillId="0" borderId="25" xfId="0" applyFont="1" applyBorder="1" applyAlignment="1">
      <alignment horizontal="right"/>
    </xf>
    <xf numFmtId="0" fontId="134" fillId="0" borderId="14" xfId="0" applyFont="1" applyBorder="1" applyAlignment="1">
      <alignment horizontal="right" wrapText="1"/>
    </xf>
    <xf numFmtId="3" fontId="134" fillId="0" borderId="96" xfId="0" applyNumberFormat="1" applyFont="1" applyBorder="1"/>
    <xf numFmtId="0" fontId="135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9" fontId="134" fillId="0" borderId="0" xfId="8" applyFont="1"/>
    <xf numFmtId="164" fontId="134" fillId="0" borderId="0" xfId="1" applyFont="1"/>
    <xf numFmtId="0" fontId="97" fillId="4" borderId="2" xfId="0" applyFont="1" applyFill="1" applyBorder="1" applyAlignment="1">
      <alignment vertical="center"/>
    </xf>
    <xf numFmtId="0" fontId="134" fillId="4" borderId="30" xfId="0" applyFont="1" applyFill="1" applyBorder="1" applyAlignment="1">
      <alignment vertical="center"/>
    </xf>
    <xf numFmtId="0" fontId="97" fillId="4" borderId="5" xfId="0" applyFont="1" applyFill="1" applyBorder="1" applyAlignment="1">
      <alignment horizontal="center" vertical="center"/>
    </xf>
    <xf numFmtId="3" fontId="97" fillId="4" borderId="50" xfId="0" applyNumberFormat="1" applyFont="1" applyFill="1" applyBorder="1" applyAlignment="1">
      <alignment horizontal="center" vertical="center" wrapText="1"/>
    </xf>
    <xf numFmtId="3" fontId="97" fillId="4" borderId="56" xfId="0" applyNumberFormat="1" applyFont="1" applyFill="1" applyBorder="1" applyAlignment="1">
      <alignment horizontal="center" vertical="center" wrapText="1"/>
    </xf>
    <xf numFmtId="0" fontId="97" fillId="8" borderId="2" xfId="0" applyFont="1" applyFill="1" applyBorder="1"/>
    <xf numFmtId="0" fontId="97" fillId="8" borderId="30" xfId="0" applyFont="1" applyFill="1" applyBorder="1"/>
    <xf numFmtId="0" fontId="97" fillId="8" borderId="30" xfId="0" applyFont="1" applyFill="1" applyBorder="1" applyAlignment="1">
      <alignment horizontal="center"/>
    </xf>
    <xf numFmtId="3" fontId="97" fillId="8" borderId="50" xfId="0" applyNumberFormat="1" applyFont="1" applyFill="1" applyBorder="1"/>
    <xf numFmtId="3" fontId="97" fillId="8" borderId="56" xfId="0" applyNumberFormat="1" applyFont="1" applyFill="1" applyBorder="1"/>
    <xf numFmtId="0" fontId="97" fillId="0" borderId="59" xfId="0" applyFont="1" applyBorder="1"/>
    <xf numFmtId="0" fontId="97" fillId="8" borderId="88" xfId="0" applyFont="1" applyFill="1" applyBorder="1"/>
    <xf numFmtId="0" fontId="97" fillId="8" borderId="80" xfId="0" applyFont="1" applyFill="1" applyBorder="1" applyAlignment="1">
      <alignment horizontal="center"/>
    </xf>
    <xf numFmtId="3" fontId="97" fillId="8" borderId="91" xfId="0" applyNumberFormat="1" applyFont="1" applyFill="1" applyBorder="1"/>
    <xf numFmtId="3" fontId="97" fillId="8" borderId="84" xfId="0" applyNumberFormat="1" applyFont="1" applyFill="1" applyBorder="1"/>
    <xf numFmtId="0" fontId="134" fillId="0" borderId="59" xfId="0" applyFont="1" applyBorder="1" applyAlignment="1">
      <alignment vertical="center"/>
    </xf>
    <xf numFmtId="0" fontId="134" fillId="0" borderId="25" xfId="0" applyFont="1" applyBorder="1" applyAlignment="1">
      <alignment horizontal="right" vertical="center"/>
    </xf>
    <xf numFmtId="0" fontId="97" fillId="0" borderId="25" xfId="0" applyFont="1" applyBorder="1" applyAlignment="1">
      <alignment horizontal="center" vertical="center"/>
    </xf>
    <xf numFmtId="3" fontId="134" fillId="0" borderId="26" xfId="0" applyNumberFormat="1" applyFont="1" applyBorder="1" applyAlignment="1">
      <alignment vertical="center"/>
    </xf>
    <xf numFmtId="3" fontId="134" fillId="0" borderId="27" xfId="0" applyNumberFormat="1" applyFont="1" applyBorder="1" applyAlignment="1">
      <alignment vertical="center"/>
    </xf>
    <xf numFmtId="0" fontId="134" fillId="22" borderId="0" xfId="0" applyFont="1" applyFill="1" applyAlignment="1">
      <alignment vertical="center"/>
    </xf>
    <xf numFmtId="0" fontId="134" fillId="0" borderId="14" xfId="0" applyFont="1" applyBorder="1" applyAlignment="1">
      <alignment horizontal="right" vertical="center"/>
    </xf>
    <xf numFmtId="0" fontId="97" fillId="0" borderId="14" xfId="0" applyFont="1" applyBorder="1" applyAlignment="1">
      <alignment horizontal="center" vertical="center"/>
    </xf>
    <xf numFmtId="3" fontId="134" fillId="0" borderId="70" xfId="0" applyNumberFormat="1" applyFont="1" applyBorder="1" applyAlignment="1">
      <alignment vertical="center"/>
    </xf>
    <xf numFmtId="3" fontId="134" fillId="0" borderId="43" xfId="0" applyNumberFormat="1" applyFont="1" applyBorder="1" applyAlignment="1">
      <alignment vertical="center"/>
    </xf>
    <xf numFmtId="0" fontId="134" fillId="0" borderId="69" xfId="0" applyFont="1" applyBorder="1" applyAlignment="1">
      <alignment horizontal="right"/>
    </xf>
    <xf numFmtId="3" fontId="134" fillId="0" borderId="39" xfId="0" applyNumberFormat="1" applyFont="1" applyBorder="1"/>
    <xf numFmtId="0" fontId="97" fillId="8" borderId="89" xfId="0" applyFont="1" applyFill="1" applyBorder="1"/>
    <xf numFmtId="0" fontId="97" fillId="8" borderId="81" xfId="0" applyFont="1" applyFill="1" applyBorder="1" applyAlignment="1">
      <alignment horizontal="left"/>
    </xf>
    <xf numFmtId="0" fontId="134" fillId="0" borderId="37" xfId="0" applyFont="1" applyBorder="1"/>
    <xf numFmtId="0" fontId="97" fillId="0" borderId="37" xfId="0" applyFont="1" applyBorder="1" applyAlignment="1">
      <alignment horizontal="center"/>
    </xf>
    <xf numFmtId="3" fontId="134" fillId="0" borderId="49" xfId="0" applyNumberFormat="1" applyFont="1" applyBorder="1"/>
    <xf numFmtId="3" fontId="134" fillId="0" borderId="33" xfId="0" applyNumberFormat="1" applyFont="1" applyBorder="1"/>
    <xf numFmtId="0" fontId="97" fillId="4" borderId="83" xfId="0" applyFont="1" applyFill="1" applyBorder="1"/>
    <xf numFmtId="0" fontId="97" fillId="4" borderId="81" xfId="0" applyFont="1" applyFill="1" applyBorder="1"/>
    <xf numFmtId="0" fontId="97" fillId="4" borderId="81" xfId="0" applyFont="1" applyFill="1" applyBorder="1" applyAlignment="1">
      <alignment horizontal="center"/>
    </xf>
    <xf numFmtId="3" fontId="97" fillId="4" borderId="89" xfId="0" applyNumberFormat="1" applyFont="1" applyFill="1" applyBorder="1"/>
    <xf numFmtId="3" fontId="97" fillId="4" borderId="82" xfId="0" applyNumberFormat="1" applyFont="1" applyFill="1" applyBorder="1"/>
    <xf numFmtId="3" fontId="97" fillId="0" borderId="0" xfId="0" applyNumberFormat="1" applyFont="1" applyAlignment="1">
      <alignment horizontal="right"/>
    </xf>
    <xf numFmtId="0" fontId="140" fillId="0" borderId="0" xfId="0" applyFont="1"/>
    <xf numFmtId="0" fontId="140" fillId="0" borderId="80" xfId="0" applyFont="1" applyBorder="1"/>
    <xf numFmtId="0" fontId="140" fillId="0" borderId="80" xfId="0" applyFont="1" applyBorder="1" applyAlignment="1">
      <alignment horizontal="center"/>
    </xf>
    <xf numFmtId="3" fontId="140" fillId="0" borderId="80" xfId="0" applyNumberFormat="1" applyFont="1" applyBorder="1" applyAlignment="1">
      <alignment horizontal="right"/>
    </xf>
    <xf numFmtId="3" fontId="140" fillId="0" borderId="0" xfId="0" applyNumberFormat="1" applyFont="1"/>
    <xf numFmtId="0" fontId="140" fillId="22" borderId="0" xfId="0" applyFont="1" applyFill="1"/>
    <xf numFmtId="9" fontId="135" fillId="0" borderId="0" xfId="8" applyFont="1" applyAlignment="1">
      <alignment horizontal="right"/>
    </xf>
    <xf numFmtId="3" fontId="134" fillId="0" borderId="0" xfId="0" applyNumberFormat="1" applyFont="1" applyAlignment="1">
      <alignment horizontal="right"/>
    </xf>
    <xf numFmtId="0" fontId="140" fillId="0" borderId="47" xfId="0" applyFont="1" applyBorder="1"/>
    <xf numFmtId="0" fontId="140" fillId="0" borderId="47" xfId="0" applyFont="1" applyBorder="1" applyAlignment="1">
      <alignment horizontal="center"/>
    </xf>
    <xf numFmtId="3" fontId="140" fillId="0" borderId="47" xfId="0" applyNumberFormat="1" applyFont="1" applyBorder="1" applyAlignment="1">
      <alignment horizontal="right"/>
    </xf>
    <xf numFmtId="3" fontId="140" fillId="4" borderId="80" xfId="0" applyNumberFormat="1" applyFont="1" applyFill="1" applyBorder="1" applyAlignment="1">
      <alignment horizontal="right"/>
    </xf>
    <xf numFmtId="9" fontId="134" fillId="0" borderId="0" xfId="8" applyFont="1" applyAlignment="1">
      <alignment horizontal="right"/>
    </xf>
    <xf numFmtId="0" fontId="140" fillId="0" borderId="0" xfId="0" applyFont="1" applyAlignment="1">
      <alignment horizontal="center"/>
    </xf>
    <xf numFmtId="167" fontId="140" fillId="0" borderId="0" xfId="8" applyNumberFormat="1" applyFont="1"/>
    <xf numFmtId="0" fontId="98" fillId="0" borderId="0" xfId="0" applyFont="1"/>
    <xf numFmtId="0" fontId="98" fillId="0" borderId="80" xfId="0" applyFont="1" applyBorder="1"/>
    <xf numFmtId="0" fontId="98" fillId="0" borderId="80" xfId="0" applyFont="1" applyBorder="1" applyAlignment="1">
      <alignment horizontal="center"/>
    </xf>
    <xf numFmtId="3" fontId="98" fillId="0" borderId="80" xfId="0" applyNumberFormat="1" applyFont="1" applyBorder="1"/>
    <xf numFmtId="3" fontId="98" fillId="0" borderId="0" xfId="0" applyNumberFormat="1" applyFont="1"/>
    <xf numFmtId="3" fontId="98" fillId="22" borderId="0" xfId="0" applyNumberFormat="1" applyFont="1" applyFill="1"/>
    <xf numFmtId="0" fontId="98" fillId="22" borderId="0" xfId="0" applyFont="1" applyFill="1"/>
    <xf numFmtId="0" fontId="134" fillId="0" borderId="0" xfId="0" applyFont="1" applyAlignment="1">
      <alignment horizontal="right"/>
    </xf>
    <xf numFmtId="10" fontId="98" fillId="0" borderId="80" xfId="8" applyNumberFormat="1" applyFont="1" applyBorder="1"/>
    <xf numFmtId="10" fontId="98" fillId="0" borderId="0" xfId="8" applyNumberFormat="1" applyFont="1" applyBorder="1"/>
    <xf numFmtId="164" fontId="94" fillId="0" borderId="0" xfId="1" applyFont="1"/>
    <xf numFmtId="164" fontId="98" fillId="0" borderId="0" xfId="1" applyFont="1"/>
    <xf numFmtId="164" fontId="97" fillId="4" borderId="0" xfId="1" applyFont="1" applyFill="1" applyAlignment="1"/>
    <xf numFmtId="3" fontId="136" fillId="0" borderId="0" xfId="0" applyNumberFormat="1" applyFont="1"/>
    <xf numFmtId="0" fontId="134" fillId="0" borderId="0" xfId="0" applyFont="1" applyAlignment="1">
      <alignment horizontal="right" wrapText="1"/>
    </xf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22" borderId="80" xfId="0" applyNumberFormat="1" applyFont="1" applyFill="1" applyBorder="1" applyAlignment="1">
      <alignment horizontal="right"/>
    </xf>
    <xf numFmtId="3" fontId="140" fillId="22" borderId="0" xfId="0" applyNumberFormat="1" applyFont="1" applyFill="1"/>
    <xf numFmtId="0" fontId="97" fillId="0" borderId="0" xfId="0" applyFont="1" applyAlignment="1">
      <alignment horizontal="right"/>
    </xf>
    <xf numFmtId="0" fontId="98" fillId="0" borderId="0" xfId="0" applyFont="1" applyAlignment="1">
      <alignment horizontal="right"/>
    </xf>
    <xf numFmtId="0" fontId="97" fillId="0" borderId="47" xfId="0" applyFont="1" applyBorder="1" applyAlignment="1">
      <alignment horizontal="right"/>
    </xf>
    <xf numFmtId="3" fontId="140" fillId="0" borderId="47" xfId="0" applyNumberFormat="1" applyFont="1" applyBorder="1"/>
    <xf numFmtId="3" fontId="97" fillId="0" borderId="47" xfId="0" applyNumberFormat="1" applyFont="1" applyBorder="1" applyAlignment="1">
      <alignment horizontal="right"/>
    </xf>
    <xf numFmtId="0" fontId="140" fillId="5" borderId="0" xfId="0" applyFont="1" applyFill="1" applyAlignment="1">
      <alignment horizontal="right"/>
    </xf>
    <xf numFmtId="3" fontId="140" fillId="5" borderId="0" xfId="0" applyNumberFormat="1" applyFont="1" applyFill="1"/>
    <xf numFmtId="0" fontId="97" fillId="22" borderId="0" xfId="0" applyFont="1" applyFill="1" applyAlignment="1">
      <alignment horizontal="center"/>
    </xf>
    <xf numFmtId="0" fontId="33" fillId="22" borderId="0" xfId="0" applyFont="1" applyFill="1" applyAlignment="1">
      <alignment vertical="center"/>
    </xf>
    <xf numFmtId="0" fontId="35" fillId="0" borderId="0" xfId="7" applyFont="1" applyAlignment="1">
      <alignment wrapText="1"/>
    </xf>
    <xf numFmtId="0" fontId="37" fillId="0" borderId="0" xfId="7" applyFont="1"/>
    <xf numFmtId="0" fontId="41" fillId="0" borderId="0" xfId="7" applyFont="1"/>
    <xf numFmtId="0" fontId="33" fillId="0" borderId="0" xfId="7" applyFont="1"/>
    <xf numFmtId="0" fontId="33" fillId="0" borderId="0" xfId="7" applyFont="1" applyAlignment="1">
      <alignment horizontal="center"/>
    </xf>
    <xf numFmtId="0" fontId="41" fillId="0" borderId="0" xfId="7" applyFont="1" applyAlignment="1">
      <alignment horizontal="center"/>
    </xf>
    <xf numFmtId="0" fontId="37" fillId="0" borderId="0" xfId="7" applyFont="1" applyAlignment="1">
      <alignment horizontal="center"/>
    </xf>
    <xf numFmtId="0" fontId="33" fillId="22" borderId="0" xfId="7" applyFont="1" applyFill="1"/>
    <xf numFmtId="0" fontId="32" fillId="0" borderId="0" xfId="7" applyFont="1"/>
    <xf numFmtId="0" fontId="35" fillId="0" borderId="0" xfId="7" applyFont="1"/>
    <xf numFmtId="3" fontId="33" fillId="0" borderId="0" xfId="7" applyNumberFormat="1" applyFont="1" applyAlignment="1">
      <alignment horizontal="center"/>
    </xf>
    <xf numFmtId="0" fontId="35" fillId="3" borderId="3" xfId="4" applyFont="1" applyFill="1" applyBorder="1" applyAlignment="1">
      <alignment horizontal="center" vertical="center"/>
    </xf>
    <xf numFmtId="2" fontId="35" fillId="3" borderId="3" xfId="4" applyNumberFormat="1" applyFont="1" applyFill="1" applyBorder="1" applyAlignment="1">
      <alignment horizontal="center" vertical="center" wrapText="1"/>
    </xf>
    <xf numFmtId="0" fontId="35" fillId="3" borderId="2" xfId="4" applyFont="1" applyFill="1" applyBorder="1" applyAlignment="1">
      <alignment horizontal="center" vertical="center"/>
    </xf>
    <xf numFmtId="3" fontId="35" fillId="3" borderId="3" xfId="4" applyNumberFormat="1" applyFont="1" applyFill="1" applyBorder="1" applyAlignment="1">
      <alignment horizontal="center" vertical="center" wrapText="1"/>
    </xf>
    <xf numFmtId="3" fontId="38" fillId="3" borderId="3" xfId="4" applyNumberFormat="1" applyFont="1" applyFill="1" applyBorder="1" applyAlignment="1">
      <alignment horizontal="center" vertical="center" wrapText="1"/>
    </xf>
    <xf numFmtId="3" fontId="44" fillId="3" borderId="3" xfId="4" applyNumberFormat="1" applyFont="1" applyFill="1" applyBorder="1" applyAlignment="1">
      <alignment horizontal="center" vertical="center" wrapText="1"/>
    </xf>
    <xf numFmtId="0" fontId="33" fillId="0" borderId="30" xfId="7" applyFont="1" applyBorder="1"/>
    <xf numFmtId="0" fontId="35" fillId="0" borderId="30" xfId="4" applyFont="1" applyBorder="1"/>
    <xf numFmtId="3" fontId="35" fillId="5" borderId="30" xfId="7" applyNumberFormat="1" applyFont="1" applyFill="1" applyBorder="1"/>
    <xf numFmtId="3" fontId="38" fillId="5" borderId="30" xfId="7" applyNumberFormat="1" applyFont="1" applyFill="1" applyBorder="1"/>
    <xf numFmtId="3" fontId="44" fillId="5" borderId="30" xfId="7" applyNumberFormat="1" applyFont="1" applyFill="1" applyBorder="1"/>
    <xf numFmtId="3" fontId="35" fillId="5" borderId="6" xfId="7" applyNumberFormat="1" applyFont="1" applyFill="1" applyBorder="1"/>
    <xf numFmtId="0" fontId="35" fillId="0" borderId="59" xfId="7" applyFont="1" applyBorder="1" applyAlignment="1">
      <alignment vertical="center" textRotation="180"/>
    </xf>
    <xf numFmtId="49" fontId="33" fillId="0" borderId="16" xfId="7" applyNumberFormat="1" applyFont="1" applyBorder="1" applyAlignment="1">
      <alignment horizontal="left"/>
    </xf>
    <xf numFmtId="0" fontId="33" fillId="0" borderId="10" xfId="7" applyFont="1" applyBorder="1"/>
    <xf numFmtId="0" fontId="33" fillId="0" borderId="16" xfId="7" applyFont="1" applyBorder="1" applyAlignment="1">
      <alignment horizontal="center"/>
    </xf>
    <xf numFmtId="0" fontId="33" fillId="0" borderId="15" xfId="7" applyFont="1" applyBorder="1" applyAlignment="1">
      <alignment horizontal="center"/>
    </xf>
    <xf numFmtId="3" fontId="33" fillId="0" borderId="16" xfId="7" applyNumberFormat="1" applyFont="1" applyBorder="1" applyAlignment="1">
      <alignment horizontal="right"/>
    </xf>
    <xf numFmtId="3" fontId="37" fillId="0" borderId="16" xfId="7" applyNumberFormat="1" applyFont="1" applyBorder="1" applyAlignment="1">
      <alignment horizontal="right"/>
    </xf>
    <xf numFmtId="3" fontId="41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center"/>
    </xf>
    <xf numFmtId="49" fontId="33" fillId="0" borderId="10" xfId="7" applyNumberFormat="1" applyFont="1" applyBorder="1" applyAlignment="1">
      <alignment horizontal="left"/>
    </xf>
    <xf numFmtId="0" fontId="33" fillId="0" borderId="10" xfId="7" applyFont="1" applyBorder="1" applyAlignment="1">
      <alignment horizontal="center"/>
    </xf>
    <xf numFmtId="0" fontId="33" fillId="0" borderId="17" xfId="7" applyFont="1" applyBorder="1" applyAlignment="1">
      <alignment horizontal="center"/>
    </xf>
    <xf numFmtId="3" fontId="33" fillId="0" borderId="10" xfId="7" applyNumberFormat="1" applyFont="1" applyBorder="1" applyAlignment="1">
      <alignment horizontal="right"/>
    </xf>
    <xf numFmtId="3" fontId="37" fillId="0" borderId="10" xfId="7" applyNumberFormat="1" applyFont="1" applyBorder="1" applyAlignment="1">
      <alignment horizontal="right"/>
    </xf>
    <xf numFmtId="3" fontId="41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center"/>
    </xf>
    <xf numFmtId="0" fontId="33" fillId="27" borderId="53" xfId="7" applyFont="1" applyFill="1" applyBorder="1"/>
    <xf numFmtId="0" fontId="33" fillId="27" borderId="53" xfId="7" applyFont="1" applyFill="1" applyBorder="1" applyAlignment="1">
      <alignment horizontal="center"/>
    </xf>
    <xf numFmtId="0" fontId="33" fillId="27" borderId="65" xfId="7" applyFont="1" applyFill="1" applyBorder="1" applyAlignment="1">
      <alignment horizontal="center"/>
    </xf>
    <xf numFmtId="3" fontId="35" fillId="27" borderId="53" xfId="7" applyNumberFormat="1" applyFont="1" applyFill="1" applyBorder="1" applyAlignment="1">
      <alignment horizontal="right"/>
    </xf>
    <xf numFmtId="3" fontId="37" fillId="27" borderId="53" xfId="7" applyNumberFormat="1" applyFont="1" applyFill="1" applyBorder="1" applyAlignment="1">
      <alignment horizontal="right"/>
    </xf>
    <xf numFmtId="3" fontId="33" fillId="27" borderId="53" xfId="7" applyNumberFormat="1" applyFont="1" applyFill="1" applyBorder="1" applyAlignment="1">
      <alignment horizontal="right"/>
    </xf>
    <xf numFmtId="3" fontId="41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5" fillId="0" borderId="63" xfId="7" applyFont="1" applyBorder="1" applyAlignment="1">
      <alignment horizontal="left" vertical="center"/>
    </xf>
    <xf numFmtId="0" fontId="35" fillId="0" borderId="59" xfId="7" applyFont="1" applyBorder="1" applyAlignment="1">
      <alignment horizontal="left" vertical="center"/>
    </xf>
    <xf numFmtId="0" fontId="35" fillId="0" borderId="53" xfId="7" applyFont="1" applyBorder="1" applyAlignment="1">
      <alignment horizontal="left" vertical="center"/>
    </xf>
    <xf numFmtId="0" fontId="33" fillId="0" borderId="34" xfId="7" applyFont="1" applyBorder="1"/>
    <xf numFmtId="0" fontId="33" fillId="0" borderId="34" xfId="7" applyFont="1" applyBorder="1" applyAlignment="1">
      <alignment horizontal="center"/>
    </xf>
    <xf numFmtId="0" fontId="33" fillId="0" borderId="32" xfId="7" applyFont="1" applyBorder="1" applyAlignment="1">
      <alignment horizontal="center"/>
    </xf>
    <xf numFmtId="3" fontId="33" fillId="0" borderId="34" xfId="7" applyNumberFormat="1" applyFont="1" applyBorder="1" applyAlignment="1">
      <alignment horizontal="right"/>
    </xf>
    <xf numFmtId="3" fontId="37" fillId="0" borderId="34" xfId="7" applyNumberFormat="1" applyFont="1" applyBorder="1" applyAlignment="1">
      <alignment horizontal="right"/>
    </xf>
    <xf numFmtId="49" fontId="33" fillId="0" borderId="10" xfId="7" applyNumberFormat="1" applyFont="1" applyBorder="1" applyAlignment="1">
      <alignment horizontal="left" vertical="center"/>
    </xf>
    <xf numFmtId="0" fontId="33" fillId="0" borderId="10" xfId="7" applyFont="1" applyBorder="1" applyAlignment="1">
      <alignment vertical="center" wrapText="1"/>
    </xf>
    <xf numFmtId="0" fontId="33" fillId="0" borderId="10" xfId="7" applyFont="1" applyBorder="1" applyAlignment="1">
      <alignment horizontal="center" vertical="center"/>
    </xf>
    <xf numFmtId="0" fontId="33" fillId="0" borderId="17" xfId="7" applyFont="1" applyBorder="1" applyAlignment="1">
      <alignment horizontal="center" vertical="center"/>
    </xf>
    <xf numFmtId="3" fontId="33" fillId="0" borderId="10" xfId="7" applyNumberFormat="1" applyFont="1" applyBorder="1" applyAlignment="1">
      <alignment horizontal="right" vertical="center"/>
    </xf>
    <xf numFmtId="3" fontId="37" fillId="0" borderId="10" xfId="7" applyNumberFormat="1" applyFont="1" applyBorder="1" applyAlignment="1">
      <alignment horizontal="right" vertical="center"/>
    </xf>
    <xf numFmtId="0" fontId="41" fillId="0" borderId="0" xfId="7" applyFont="1" applyAlignment="1">
      <alignment horizontal="center" vertical="center"/>
    </xf>
    <xf numFmtId="0" fontId="33" fillId="22" borderId="0" xfId="7" applyFont="1" applyFill="1" applyAlignment="1">
      <alignment vertical="center"/>
    </xf>
    <xf numFmtId="0" fontId="35" fillId="0" borderId="65" xfId="7" applyFont="1" applyBorder="1" applyAlignment="1">
      <alignment horizontal="left" vertical="center"/>
    </xf>
    <xf numFmtId="49" fontId="33" fillId="0" borderId="11" xfId="7" applyNumberFormat="1" applyFont="1" applyBorder="1" applyAlignment="1">
      <alignment horizontal="left" vertical="center"/>
    </xf>
    <xf numFmtId="0" fontId="33" fillId="0" borderId="11" xfId="7" applyFont="1" applyBorder="1" applyAlignment="1">
      <alignment vertical="center" wrapText="1"/>
    </xf>
    <xf numFmtId="0" fontId="33" fillId="0" borderId="11" xfId="7" applyFont="1" applyBorder="1" applyAlignment="1">
      <alignment horizontal="center" vertical="center"/>
    </xf>
    <xf numFmtId="0" fontId="33" fillId="0" borderId="58" xfId="7" applyFont="1" applyBorder="1" applyAlignment="1">
      <alignment horizontal="center" vertical="center"/>
    </xf>
    <xf numFmtId="3" fontId="33" fillId="0" borderId="11" xfId="7" applyNumberFormat="1" applyFont="1" applyBorder="1" applyAlignment="1">
      <alignment horizontal="right" vertical="center"/>
    </xf>
    <xf numFmtId="49" fontId="33" fillId="0" borderId="53" xfId="7" applyNumberFormat="1" applyFont="1" applyBorder="1" applyAlignment="1">
      <alignment horizontal="left"/>
    </xf>
    <xf numFmtId="0" fontId="33" fillId="0" borderId="53" xfId="7" applyFont="1" applyBorder="1"/>
    <xf numFmtId="0" fontId="33" fillId="0" borderId="53" xfId="7" applyFont="1" applyBorder="1" applyAlignment="1">
      <alignment horizontal="center"/>
    </xf>
    <xf numFmtId="0" fontId="33" fillId="0" borderId="65" xfId="7" applyFont="1" applyBorder="1" applyAlignment="1">
      <alignment horizontal="center"/>
    </xf>
    <xf numFmtId="3" fontId="33" fillId="0" borderId="53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49" fontId="33" fillId="0" borderId="11" xfId="7" applyNumberFormat="1" applyFont="1" applyBorder="1" applyAlignment="1">
      <alignment horizontal="left"/>
    </xf>
    <xf numFmtId="0" fontId="33" fillId="0" borderId="11" xfId="7" applyFont="1" applyBorder="1"/>
    <xf numFmtId="0" fontId="33" fillId="0" borderId="11" xfId="7" applyFont="1" applyBorder="1" applyAlignment="1">
      <alignment horizontal="center"/>
    </xf>
    <xf numFmtId="0" fontId="33" fillId="0" borderId="58" xfId="7" applyFont="1" applyBorder="1" applyAlignment="1">
      <alignment horizontal="center"/>
    </xf>
    <xf numFmtId="3" fontId="33" fillId="0" borderId="11" xfId="7" applyNumberFormat="1" applyFont="1" applyBorder="1" applyAlignment="1">
      <alignment horizontal="right"/>
    </xf>
    <xf numFmtId="0" fontId="35" fillId="0" borderId="59" xfId="7" applyFont="1" applyBorder="1" applyAlignment="1">
      <alignment horizontal="left" vertical="center" textRotation="180"/>
    </xf>
    <xf numFmtId="0" fontId="33" fillId="0" borderId="10" xfId="0" applyFont="1" applyBorder="1" applyAlignment="1">
      <alignment wrapText="1"/>
    </xf>
    <xf numFmtId="0" fontId="33" fillId="0" borderId="10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3" fontId="33" fillId="4" borderId="10" xfId="0" applyNumberFormat="1" applyFont="1" applyFill="1" applyBorder="1" applyAlignment="1">
      <alignment horizontal="right" wrapText="1"/>
    </xf>
    <xf numFmtId="3" fontId="37" fillId="0" borderId="10" xfId="0" applyNumberFormat="1" applyFont="1" applyBorder="1" applyAlignment="1">
      <alignment horizontal="right" wrapText="1"/>
    </xf>
    <xf numFmtId="3" fontId="33" fillId="0" borderId="10" xfId="0" applyNumberFormat="1" applyFont="1" applyBorder="1" applyAlignment="1">
      <alignment horizontal="right" wrapText="1"/>
    </xf>
    <xf numFmtId="0" fontId="35" fillId="22" borderId="0" xfId="7" applyFont="1" applyFill="1"/>
    <xf numFmtId="0" fontId="33" fillId="0" borderId="11" xfId="0" applyFont="1" applyBorder="1" applyAlignment="1">
      <alignment wrapText="1"/>
    </xf>
    <xf numFmtId="0" fontId="33" fillId="0" borderId="11" xfId="0" applyFont="1" applyBorder="1" applyAlignment="1">
      <alignment horizontal="center" wrapText="1"/>
    </xf>
    <xf numFmtId="0" fontId="33" fillId="0" borderId="58" xfId="0" applyFont="1" applyBorder="1" applyAlignment="1">
      <alignment horizontal="center" wrapText="1"/>
    </xf>
    <xf numFmtId="3" fontId="33" fillId="0" borderId="11" xfId="0" applyNumberFormat="1" applyFont="1" applyBorder="1" applyAlignment="1">
      <alignment horizontal="right" wrapText="1"/>
    </xf>
    <xf numFmtId="3" fontId="37" fillId="0" borderId="11" xfId="0" applyNumberFormat="1" applyFont="1" applyBorder="1" applyAlignment="1">
      <alignment horizontal="right" wrapText="1"/>
    </xf>
    <xf numFmtId="0" fontId="33" fillId="0" borderId="11" xfId="0" applyFont="1" applyBorder="1" applyAlignment="1">
      <alignment horizontal="left" wrapText="1"/>
    </xf>
    <xf numFmtId="0" fontId="33" fillId="0" borderId="10" xfId="0" applyFont="1" applyBorder="1" applyAlignment="1">
      <alignment horizontal="left" wrapText="1"/>
    </xf>
    <xf numFmtId="3" fontId="33" fillId="0" borderId="12" xfId="7" applyNumberFormat="1" applyFont="1" applyBorder="1" applyAlignment="1">
      <alignment horizontal="right"/>
    </xf>
    <xf numFmtId="0" fontId="33" fillId="0" borderId="53" xfId="0" applyFont="1" applyBorder="1" applyAlignment="1">
      <alignment horizontal="left" wrapText="1"/>
    </xf>
    <xf numFmtId="0" fontId="33" fillId="0" borderId="53" xfId="0" applyFont="1" applyBorder="1" applyAlignment="1">
      <alignment horizontal="center" wrapText="1"/>
    </xf>
    <xf numFmtId="0" fontId="33" fillId="0" borderId="65" xfId="0" applyFont="1" applyBorder="1" applyAlignment="1">
      <alignment horizontal="center" wrapText="1"/>
    </xf>
    <xf numFmtId="3" fontId="33" fillId="0" borderId="53" xfId="0" applyNumberFormat="1" applyFont="1" applyBorder="1" applyAlignment="1">
      <alignment horizontal="right" wrapText="1"/>
    </xf>
    <xf numFmtId="3" fontId="37" fillId="0" borderId="53" xfId="0" applyNumberFormat="1" applyFont="1" applyBorder="1" applyAlignment="1">
      <alignment horizontal="right" wrapText="1"/>
    </xf>
    <xf numFmtId="0" fontId="33" fillId="0" borderId="53" xfId="0" applyFont="1" applyBorder="1" applyAlignment="1">
      <alignment wrapText="1"/>
    </xf>
    <xf numFmtId="0" fontId="33" fillId="0" borderId="34" xfId="0" applyFont="1" applyBorder="1" applyAlignment="1">
      <alignment horizontal="center" wrapText="1"/>
    </xf>
    <xf numFmtId="3" fontId="33" fillId="0" borderId="34" xfId="0" applyNumberFormat="1" applyFont="1" applyBorder="1" applyAlignment="1">
      <alignment horizontal="right" wrapText="1"/>
    </xf>
    <xf numFmtId="3" fontId="37" fillId="0" borderId="34" xfId="0" applyNumberFormat="1" applyFont="1" applyBorder="1" applyAlignment="1">
      <alignment horizontal="right" wrapText="1"/>
    </xf>
    <xf numFmtId="0" fontId="33" fillId="7" borderId="11" xfId="0" applyFont="1" applyFill="1" applyBorder="1" applyAlignment="1">
      <alignment wrapText="1"/>
    </xf>
    <xf numFmtId="0" fontId="33" fillId="7" borderId="11" xfId="0" applyFont="1" applyFill="1" applyBorder="1" applyAlignment="1">
      <alignment horizontal="center" wrapText="1"/>
    </xf>
    <xf numFmtId="0" fontId="33" fillId="7" borderId="58" xfId="0" applyFont="1" applyFill="1" applyBorder="1" applyAlignment="1">
      <alignment horizontal="center" wrapText="1"/>
    </xf>
    <xf numFmtId="3" fontId="33" fillId="7" borderId="11" xfId="0" applyNumberFormat="1" applyFont="1" applyFill="1" applyBorder="1" applyAlignment="1">
      <alignment horizontal="right" wrapText="1"/>
    </xf>
    <xf numFmtId="3" fontId="37" fillId="7" borderId="11" xfId="0" applyNumberFormat="1" applyFont="1" applyFill="1" applyBorder="1" applyAlignment="1">
      <alignment horizontal="right" wrapText="1"/>
    </xf>
    <xf numFmtId="0" fontId="33" fillId="0" borderId="34" xfId="0" applyFont="1" applyBorder="1" applyAlignment="1">
      <alignment wrapText="1"/>
    </xf>
    <xf numFmtId="0" fontId="33" fillId="0" borderId="32" xfId="0" applyFont="1" applyBorder="1" applyAlignment="1">
      <alignment horizontal="center" wrapText="1"/>
    </xf>
    <xf numFmtId="0" fontId="35" fillId="0" borderId="59" xfId="7" applyFont="1" applyBorder="1" applyAlignment="1">
      <alignment horizontal="left"/>
    </xf>
    <xf numFmtId="14" fontId="33" fillId="0" borderId="53" xfId="0" applyNumberFormat="1" applyFont="1" applyBorder="1" applyAlignment="1">
      <alignment horizontal="center" wrapText="1"/>
    </xf>
    <xf numFmtId="14" fontId="33" fillId="0" borderId="65" xfId="0" applyNumberFormat="1" applyFont="1" applyBorder="1" applyAlignment="1">
      <alignment horizontal="center" wrapText="1"/>
    </xf>
    <xf numFmtId="3" fontId="33" fillId="0" borderId="12" xfId="0" applyNumberFormat="1" applyFont="1" applyBorder="1" applyAlignment="1">
      <alignment horizontal="right" wrapText="1"/>
    </xf>
    <xf numFmtId="3" fontId="37" fillId="0" borderId="12" xfId="0" applyNumberFormat="1" applyFont="1" applyBorder="1" applyAlignment="1">
      <alignment horizontal="right" wrapText="1"/>
    </xf>
    <xf numFmtId="3" fontId="35" fillId="27" borderId="3" xfId="7" applyNumberFormat="1" applyFont="1" applyFill="1" applyBorder="1" applyAlignment="1">
      <alignment horizontal="right"/>
    </xf>
    <xf numFmtId="3" fontId="37" fillId="27" borderId="3" xfId="7" applyNumberFormat="1" applyFont="1" applyFill="1" applyBorder="1" applyAlignment="1">
      <alignment horizontal="right"/>
    </xf>
    <xf numFmtId="3" fontId="33" fillId="27" borderId="3" xfId="7" applyNumberFormat="1" applyFont="1" applyFill="1" applyBorder="1" applyAlignment="1">
      <alignment horizontal="right"/>
    </xf>
    <xf numFmtId="0" fontId="33" fillId="0" borderId="17" xfId="0" applyFont="1" applyBorder="1" applyAlignment="1">
      <alignment wrapText="1"/>
    </xf>
    <xf numFmtId="0" fontId="33" fillId="0" borderId="16" xfId="0" applyFont="1" applyBorder="1" applyAlignment="1">
      <alignment horizontal="center" wrapText="1"/>
    </xf>
    <xf numFmtId="49" fontId="33" fillId="0" borderId="36" xfId="7" applyNumberFormat="1" applyFont="1" applyBorder="1" applyAlignment="1">
      <alignment horizontal="left"/>
    </xf>
    <xf numFmtId="0" fontId="33" fillId="0" borderId="36" xfId="0" applyFont="1" applyBorder="1" applyAlignment="1">
      <alignment horizontal="center" wrapText="1"/>
    </xf>
    <xf numFmtId="14" fontId="33" fillId="0" borderId="36" xfId="0" applyNumberFormat="1" applyFont="1" applyBorder="1" applyAlignment="1">
      <alignment horizontal="center" wrapText="1"/>
    </xf>
    <xf numFmtId="14" fontId="33" fillId="0" borderId="59" xfId="0" applyNumberFormat="1" applyFont="1" applyBorder="1" applyAlignment="1">
      <alignment horizontal="center" wrapText="1"/>
    </xf>
    <xf numFmtId="0" fontId="33" fillId="0" borderId="59" xfId="0" applyFont="1" applyBorder="1" applyAlignment="1">
      <alignment horizontal="center" wrapText="1"/>
    </xf>
    <xf numFmtId="0" fontId="33" fillId="0" borderId="62" xfId="0" applyFont="1" applyBorder="1" applyAlignment="1">
      <alignment wrapText="1"/>
    </xf>
    <xf numFmtId="14" fontId="33" fillId="0" borderId="11" xfId="0" applyNumberFormat="1" applyFont="1" applyBorder="1" applyAlignment="1">
      <alignment horizontal="center" wrapText="1"/>
    </xf>
    <xf numFmtId="14" fontId="33" fillId="0" borderId="62" xfId="0" applyNumberFormat="1" applyFont="1" applyBorder="1" applyAlignment="1">
      <alignment horizontal="center" wrapText="1"/>
    </xf>
    <xf numFmtId="0" fontId="35" fillId="0" borderId="36" xfId="7" applyFont="1" applyBorder="1" applyAlignment="1">
      <alignment horizontal="left" vertical="center"/>
    </xf>
    <xf numFmtId="0" fontId="33" fillId="0" borderId="58" xfId="0" applyFont="1" applyBorder="1" applyAlignment="1">
      <alignment wrapText="1"/>
    </xf>
    <xf numFmtId="14" fontId="33" fillId="0" borderId="10" xfId="0" applyNumberFormat="1" applyFont="1" applyBorder="1" applyAlignment="1">
      <alignment horizontal="center" wrapText="1"/>
    </xf>
    <xf numFmtId="14" fontId="33" fillId="0" borderId="47" xfId="0" applyNumberFormat="1" applyFont="1" applyBorder="1" applyAlignment="1">
      <alignment horizontal="center" wrapText="1"/>
    </xf>
    <xf numFmtId="49" fontId="33" fillId="7" borderId="11" xfId="7" applyNumberFormat="1" applyFont="1" applyFill="1" applyBorder="1" applyAlignment="1">
      <alignment horizontal="left"/>
    </xf>
    <xf numFmtId="0" fontId="33" fillId="7" borderId="17" xfId="0" applyFont="1" applyFill="1" applyBorder="1" applyAlignment="1">
      <alignment wrapText="1"/>
    </xf>
    <xf numFmtId="0" fontId="33" fillId="7" borderId="10" xfId="0" applyFont="1" applyFill="1" applyBorder="1" applyAlignment="1">
      <alignment horizontal="center" wrapText="1"/>
    </xf>
    <xf numFmtId="14" fontId="33" fillId="7" borderId="10" xfId="0" applyNumberFormat="1" applyFont="1" applyFill="1" applyBorder="1" applyAlignment="1">
      <alignment horizontal="center" wrapText="1"/>
    </xf>
    <xf numFmtId="14" fontId="33" fillId="7" borderId="47" xfId="0" applyNumberFormat="1" applyFont="1" applyFill="1" applyBorder="1" applyAlignment="1">
      <alignment horizontal="center" wrapText="1"/>
    </xf>
    <xf numFmtId="0" fontId="33" fillId="0" borderId="45" xfId="0" applyFont="1" applyBorder="1" applyAlignment="1">
      <alignment wrapText="1"/>
    </xf>
    <xf numFmtId="0" fontId="35" fillId="0" borderId="65" xfId="7" applyFont="1" applyBorder="1" applyAlignment="1">
      <alignment horizontal="left"/>
    </xf>
    <xf numFmtId="0" fontId="33" fillId="7" borderId="10" xfId="0" applyFont="1" applyFill="1" applyBorder="1" applyAlignment="1">
      <alignment horizontal="left" wrapText="1"/>
    </xf>
    <xf numFmtId="0" fontId="33" fillId="7" borderId="10" xfId="0" applyFont="1" applyFill="1" applyBorder="1" applyAlignment="1">
      <alignment wrapText="1"/>
    </xf>
    <xf numFmtId="0" fontId="33" fillId="7" borderId="17" xfId="0" applyFont="1" applyFill="1" applyBorder="1" applyAlignment="1">
      <alignment horizontal="center" wrapText="1"/>
    </xf>
    <xf numFmtId="3" fontId="33" fillId="7" borderId="10" xfId="7" applyNumberFormat="1" applyFont="1" applyFill="1" applyBorder="1" applyAlignment="1">
      <alignment horizontal="right"/>
    </xf>
    <xf numFmtId="3" fontId="37" fillId="7" borderId="10" xfId="7" applyNumberFormat="1" applyFont="1" applyFill="1" applyBorder="1" applyAlignment="1">
      <alignment horizontal="right"/>
    </xf>
    <xf numFmtId="14" fontId="33" fillId="0" borderId="58" xfId="0" applyNumberFormat="1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right"/>
    </xf>
    <xf numFmtId="14" fontId="33" fillId="0" borderId="17" xfId="0" applyNumberFormat="1" applyFont="1" applyBorder="1" applyAlignment="1">
      <alignment horizontal="center" wrapText="1"/>
    </xf>
    <xf numFmtId="3" fontId="38" fillId="0" borderId="10" xfId="7" applyNumberFormat="1" applyFont="1" applyBorder="1" applyAlignment="1">
      <alignment horizontal="right"/>
    </xf>
    <xf numFmtId="3" fontId="38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right"/>
    </xf>
    <xf numFmtId="49" fontId="33" fillId="0" borderId="34" xfId="7" applyNumberFormat="1" applyFont="1" applyBorder="1" applyAlignment="1">
      <alignment horizontal="left"/>
    </xf>
    <xf numFmtId="3" fontId="37" fillId="0" borderId="11" xfId="7" applyNumberFormat="1" applyFont="1" applyBorder="1" applyAlignment="1">
      <alignment horizontal="right"/>
    </xf>
    <xf numFmtId="0" fontId="33" fillId="0" borderId="36" xfId="0" applyFont="1" applyBorder="1" applyAlignment="1">
      <alignment wrapText="1"/>
    </xf>
    <xf numFmtId="3" fontId="33" fillId="0" borderId="36" xfId="7" applyNumberFormat="1" applyFont="1" applyBorder="1" applyAlignment="1">
      <alignment horizontal="right"/>
    </xf>
    <xf numFmtId="3" fontId="37" fillId="0" borderId="36" xfId="7" applyNumberFormat="1" applyFont="1" applyBorder="1" applyAlignment="1">
      <alignment horizontal="right"/>
    </xf>
    <xf numFmtId="0" fontId="33" fillId="5" borderId="71" xfId="0" applyFont="1" applyFill="1" applyBorder="1" applyAlignment="1">
      <alignment horizontal="left" wrapText="1"/>
    </xf>
    <xf numFmtId="0" fontId="33" fillId="0" borderId="16" xfId="0" applyFont="1" applyBorder="1" applyAlignment="1">
      <alignment wrapText="1"/>
    </xf>
    <xf numFmtId="0" fontId="33" fillId="0" borderId="60" xfId="0" applyFont="1" applyBorder="1" applyAlignment="1">
      <alignment wrapText="1"/>
    </xf>
    <xf numFmtId="0" fontId="33" fillId="5" borderId="70" xfId="0" applyFont="1" applyFill="1" applyBorder="1" applyAlignment="1">
      <alignment horizontal="left" wrapText="1"/>
    </xf>
    <xf numFmtId="0" fontId="33" fillId="0" borderId="7" xfId="0" applyFont="1" applyBorder="1" applyAlignment="1">
      <alignment wrapText="1"/>
    </xf>
    <xf numFmtId="49" fontId="33" fillId="7" borderId="58" xfId="7" applyNumberFormat="1" applyFont="1" applyFill="1" applyBorder="1" applyAlignment="1">
      <alignment horizontal="left"/>
    </xf>
    <xf numFmtId="0" fontId="33" fillId="7" borderId="12" xfId="0" applyFont="1" applyFill="1" applyBorder="1" applyAlignment="1">
      <alignment wrapText="1"/>
    </xf>
    <xf numFmtId="0" fontId="33" fillId="7" borderId="12" xfId="0" applyFont="1" applyFill="1" applyBorder="1" applyAlignment="1">
      <alignment horizontal="center" wrapText="1"/>
    </xf>
    <xf numFmtId="0" fontId="33" fillId="7" borderId="73" xfId="0" applyFont="1" applyFill="1" applyBorder="1" applyAlignment="1">
      <alignment horizontal="center" wrapText="1"/>
    </xf>
    <xf numFmtId="3" fontId="33" fillId="7" borderId="12" xfId="7" applyNumberFormat="1" applyFont="1" applyFill="1" applyBorder="1" applyAlignment="1">
      <alignment horizontal="right"/>
    </xf>
    <xf numFmtId="3" fontId="37" fillId="7" borderId="12" xfId="7" applyNumberFormat="1" applyFont="1" applyFill="1" applyBorder="1" applyAlignment="1">
      <alignment horizontal="right"/>
    </xf>
    <xf numFmtId="3" fontId="41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center"/>
    </xf>
    <xf numFmtId="0" fontId="33" fillId="0" borderId="8" xfId="0" applyFont="1" applyBorder="1" applyAlignment="1">
      <alignment wrapText="1"/>
    </xf>
    <xf numFmtId="0" fontId="33" fillId="0" borderId="43" xfId="0" applyFont="1" applyBorder="1" applyAlignment="1">
      <alignment wrapText="1"/>
    </xf>
    <xf numFmtId="49" fontId="33" fillId="5" borderId="65" xfId="7" applyNumberFormat="1" applyFont="1" applyFill="1" applyBorder="1" applyAlignment="1">
      <alignment horizontal="left"/>
    </xf>
    <xf numFmtId="0" fontId="33" fillId="5" borderId="53" xfId="0" applyFont="1" applyFill="1" applyBorder="1" applyAlignment="1">
      <alignment wrapText="1"/>
    </xf>
    <xf numFmtId="0" fontId="33" fillId="5" borderId="53" xfId="0" applyFont="1" applyFill="1" applyBorder="1" applyAlignment="1">
      <alignment horizontal="center" wrapText="1"/>
    </xf>
    <xf numFmtId="0" fontId="33" fillId="5" borderId="65" xfId="0" applyFont="1" applyFill="1" applyBorder="1" applyAlignment="1">
      <alignment horizontal="center" wrapText="1"/>
    </xf>
    <xf numFmtId="3" fontId="33" fillId="5" borderId="53" xfId="7" applyNumberFormat="1" applyFont="1" applyFill="1" applyBorder="1" applyAlignment="1">
      <alignment horizontal="right"/>
    </xf>
    <xf numFmtId="3" fontId="37" fillId="5" borderId="53" xfId="7" applyNumberFormat="1" applyFont="1" applyFill="1" applyBorder="1" applyAlignment="1">
      <alignment horizontal="right"/>
    </xf>
    <xf numFmtId="0" fontId="96" fillId="5" borderId="11" xfId="0" applyFont="1" applyFill="1" applyBorder="1"/>
    <xf numFmtId="0" fontId="96" fillId="5" borderId="11" xfId="0" applyFont="1" applyFill="1" applyBorder="1" applyAlignment="1">
      <alignment horizontal="center"/>
    </xf>
    <xf numFmtId="0" fontId="96" fillId="5" borderId="58" xfId="0" applyFont="1" applyFill="1" applyBorder="1" applyAlignment="1">
      <alignment horizontal="center"/>
    </xf>
    <xf numFmtId="14" fontId="96" fillId="5" borderId="11" xfId="0" applyNumberFormat="1" applyFont="1" applyFill="1" applyBorder="1" applyAlignment="1">
      <alignment horizontal="center"/>
    </xf>
    <xf numFmtId="14" fontId="96" fillId="5" borderId="58" xfId="0" applyNumberFormat="1" applyFont="1" applyFill="1" applyBorder="1" applyAlignment="1">
      <alignment horizontal="center"/>
    </xf>
    <xf numFmtId="0" fontId="96" fillId="5" borderId="11" xfId="0" applyFont="1" applyFill="1" applyBorder="1" applyAlignment="1">
      <alignment wrapText="1"/>
    </xf>
    <xf numFmtId="3" fontId="33" fillId="4" borderId="11" xfId="7" applyNumberFormat="1" applyFont="1" applyFill="1" applyBorder="1" applyAlignment="1">
      <alignment horizontal="right"/>
    </xf>
    <xf numFmtId="0" fontId="96" fillId="5" borderId="12" xfId="0" applyFont="1" applyFill="1" applyBorder="1"/>
    <xf numFmtId="0" fontId="96" fillId="5" borderId="12" xfId="0" applyFont="1" applyFill="1" applyBorder="1" applyAlignment="1">
      <alignment horizontal="center"/>
    </xf>
    <xf numFmtId="0" fontId="96" fillId="5" borderId="73" xfId="0" applyFont="1" applyFill="1" applyBorder="1" applyAlignment="1">
      <alignment horizontal="center"/>
    </xf>
    <xf numFmtId="3" fontId="37" fillId="0" borderId="12" xfId="7" applyNumberFormat="1" applyFont="1" applyBorder="1" applyAlignment="1">
      <alignment horizontal="right"/>
    </xf>
    <xf numFmtId="0" fontId="96" fillId="5" borderId="34" xfId="0" applyFont="1" applyFill="1" applyBorder="1"/>
    <xf numFmtId="0" fontId="96" fillId="5" borderId="34" xfId="0" applyFont="1" applyFill="1" applyBorder="1" applyAlignment="1">
      <alignment horizontal="center"/>
    </xf>
    <xf numFmtId="0" fontId="96" fillId="5" borderId="32" xfId="0" applyFont="1" applyFill="1" applyBorder="1" applyAlignment="1">
      <alignment horizontal="center"/>
    </xf>
    <xf numFmtId="0" fontId="33" fillId="0" borderId="15" xfId="0" applyFont="1" applyBorder="1" applyAlignment="1">
      <alignment horizontal="center" wrapText="1"/>
    </xf>
    <xf numFmtId="3" fontId="41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center"/>
    </xf>
    <xf numFmtId="0" fontId="33" fillId="0" borderId="12" xfId="0" applyFont="1" applyBorder="1" applyAlignment="1">
      <alignment wrapText="1"/>
    </xf>
    <xf numFmtId="0" fontId="33" fillId="0" borderId="12" xfId="0" applyFont="1" applyBorder="1" applyAlignment="1">
      <alignment horizontal="center" wrapText="1"/>
    </xf>
    <xf numFmtId="0" fontId="33" fillId="0" borderId="73" xfId="0" applyFont="1" applyBorder="1" applyAlignment="1">
      <alignment horizontal="center" wrapText="1"/>
    </xf>
    <xf numFmtId="3" fontId="41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center"/>
    </xf>
    <xf numFmtId="3" fontId="41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center"/>
    </xf>
    <xf numFmtId="3" fontId="41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right" wrapText="1"/>
    </xf>
    <xf numFmtId="0" fontId="33" fillId="0" borderId="59" xfId="7" applyFont="1" applyBorder="1" applyAlignment="1">
      <alignment horizontal="left" vertical="center" textRotation="180"/>
    </xf>
    <xf numFmtId="3" fontId="33" fillId="0" borderId="11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center"/>
    </xf>
    <xf numFmtId="0" fontId="35" fillId="4" borderId="1" xfId="7" applyFont="1" applyFill="1" applyBorder="1"/>
    <xf numFmtId="0" fontId="35" fillId="4" borderId="30" xfId="7" applyFont="1" applyFill="1" applyBorder="1"/>
    <xf numFmtId="0" fontId="35" fillId="4" borderId="3" xfId="7" applyFont="1" applyFill="1" applyBorder="1"/>
    <xf numFmtId="0" fontId="35" fillId="4" borderId="3" xfId="7" applyFont="1" applyFill="1" applyBorder="1" applyAlignment="1">
      <alignment horizontal="center"/>
    </xf>
    <xf numFmtId="0" fontId="35" fillId="4" borderId="2" xfId="7" applyFont="1" applyFill="1" applyBorder="1" applyAlignment="1">
      <alignment horizontal="center"/>
    </xf>
    <xf numFmtId="3" fontId="35" fillId="4" borderId="6" xfId="7" applyNumberFormat="1" applyFont="1" applyFill="1" applyBorder="1" applyAlignment="1">
      <alignment horizontal="right"/>
    </xf>
    <xf numFmtId="3" fontId="38" fillId="4" borderId="6" xfId="7" applyNumberFormat="1" applyFont="1" applyFill="1" applyBorder="1" applyAlignment="1">
      <alignment horizontal="right"/>
    </xf>
    <xf numFmtId="3" fontId="44" fillId="4" borderId="6" xfId="7" applyNumberFormat="1" applyFont="1" applyFill="1" applyBorder="1" applyAlignment="1">
      <alignment horizontal="right"/>
    </xf>
    <xf numFmtId="3" fontId="35" fillId="4" borderId="3" xfId="7" applyNumberFormat="1" applyFont="1" applyFill="1" applyBorder="1" applyAlignment="1">
      <alignment horizontal="center"/>
    </xf>
    <xf numFmtId="3" fontId="33" fillId="4" borderId="3" xfId="7" applyNumberFormat="1" applyFont="1" applyFill="1" applyBorder="1" applyAlignment="1">
      <alignment horizontal="right"/>
    </xf>
    <xf numFmtId="0" fontId="38" fillId="0" borderId="0" xfId="7" applyFont="1" applyAlignment="1">
      <alignment horizontal="center"/>
    </xf>
    <xf numFmtId="3" fontId="33" fillId="0" borderId="0" xfId="7" applyNumberFormat="1" applyFont="1" applyAlignment="1">
      <alignment horizontal="right"/>
    </xf>
    <xf numFmtId="3" fontId="38" fillId="0" borderId="0" xfId="7" applyNumberFormat="1" applyFont="1"/>
    <xf numFmtId="3" fontId="35" fillId="0" borderId="0" xfId="7" applyNumberFormat="1" applyFont="1"/>
    <xf numFmtId="3" fontId="35" fillId="0" borderId="0" xfId="7" applyNumberFormat="1" applyFont="1" applyAlignment="1">
      <alignment horizontal="center"/>
    </xf>
    <xf numFmtId="3" fontId="38" fillId="0" borderId="0" xfId="7" applyNumberFormat="1" applyFont="1" applyAlignment="1">
      <alignment horizontal="center"/>
    </xf>
    <xf numFmtId="0" fontId="37" fillId="22" borderId="0" xfId="7" applyFont="1" applyFill="1"/>
    <xf numFmtId="0" fontId="33" fillId="0" borderId="0" xfId="3" applyFont="1"/>
    <xf numFmtId="3" fontId="37" fillId="0" borderId="0" xfId="7" applyNumberFormat="1" applyFont="1"/>
    <xf numFmtId="0" fontId="33" fillId="22" borderId="0" xfId="7" applyFont="1" applyFill="1" applyAlignment="1">
      <alignment horizontal="center"/>
    </xf>
    <xf numFmtId="3" fontId="33" fillId="22" borderId="0" xfId="7" applyNumberFormat="1" applyFont="1" applyFill="1" applyAlignment="1">
      <alignment horizontal="center"/>
    </xf>
    <xf numFmtId="0" fontId="41" fillId="22" borderId="0" xfId="7" applyFont="1" applyFill="1"/>
    <xf numFmtId="0" fontId="41" fillId="22" borderId="0" xfId="7" applyFont="1" applyFill="1" applyAlignment="1">
      <alignment horizontal="center"/>
    </xf>
    <xf numFmtId="0" fontId="37" fillId="22" borderId="0" xfId="7" applyFont="1" applyFill="1" applyAlignment="1">
      <alignment horizontal="center"/>
    </xf>
    <xf numFmtId="0" fontId="43" fillId="0" borderId="0" xfId="5" applyFont="1"/>
    <xf numFmtId="0" fontId="33" fillId="0" borderId="0" xfId="5" applyFont="1"/>
    <xf numFmtId="0" fontId="37" fillId="0" borderId="0" xfId="5" applyFont="1"/>
    <xf numFmtId="0" fontId="41" fillId="0" borderId="0" xfId="5" applyFont="1" applyAlignment="1">
      <alignment horizontal="center"/>
    </xf>
    <xf numFmtId="0" fontId="37" fillId="0" borderId="0" xfId="5" applyFont="1" applyAlignment="1">
      <alignment horizontal="center"/>
    </xf>
    <xf numFmtId="0" fontId="33" fillId="22" borderId="0" xfId="5" applyFont="1" applyFill="1"/>
    <xf numFmtId="0" fontId="33" fillId="0" borderId="0" xfId="6" applyFont="1"/>
    <xf numFmtId="0" fontId="37" fillId="0" borderId="0" xfId="6" applyFont="1"/>
    <xf numFmtId="0" fontId="41" fillId="0" borderId="0" xfId="6" applyFont="1" applyAlignment="1">
      <alignment horizontal="center"/>
    </xf>
    <xf numFmtId="0" fontId="37" fillId="0" borderId="0" xfId="6" applyFont="1" applyAlignment="1">
      <alignment horizontal="center"/>
    </xf>
    <xf numFmtId="0" fontId="33" fillId="22" borderId="0" xfId="6" applyFont="1" applyFill="1"/>
    <xf numFmtId="0" fontId="41" fillId="0" borderId="0" xfId="0" applyFont="1" applyAlignment="1">
      <alignment horizontal="center"/>
    </xf>
    <xf numFmtId="49" fontId="35" fillId="2" borderId="2" xfId="6" applyNumberFormat="1" applyFont="1" applyFill="1" applyBorder="1" applyAlignment="1">
      <alignment horizontal="center" vertical="center" wrapText="1"/>
    </xf>
    <xf numFmtId="49" fontId="35" fillId="2" borderId="5" xfId="6" applyNumberFormat="1" applyFont="1" applyFill="1" applyBorder="1" applyAlignment="1">
      <alignment horizontal="center" vertical="center" wrapText="1"/>
    </xf>
    <xf numFmtId="0" fontId="32" fillId="2" borderId="50" xfId="6" applyFont="1" applyFill="1" applyBorder="1" applyAlignment="1">
      <alignment horizontal="center" vertical="center"/>
    </xf>
    <xf numFmtId="3" fontId="35" fillId="2" borderId="3" xfId="5" applyNumberFormat="1" applyFont="1" applyFill="1" applyBorder="1" applyAlignment="1">
      <alignment horizontal="center" vertical="center" wrapText="1"/>
    </xf>
    <xf numFmtId="3" fontId="38" fillId="2" borderId="3" xfId="5" applyNumberFormat="1" applyFont="1" applyFill="1" applyBorder="1" applyAlignment="1">
      <alignment horizontal="center" vertical="center" wrapText="1"/>
    </xf>
    <xf numFmtId="0" fontId="33" fillId="0" borderId="18" xfId="6" applyFont="1" applyBorder="1" applyAlignment="1">
      <alignment horizontal="center" wrapText="1"/>
    </xf>
    <xf numFmtId="0" fontId="33" fillId="0" borderId="13" xfId="6" applyFont="1" applyBorder="1" applyAlignment="1">
      <alignment horizontal="center" wrapText="1"/>
    </xf>
    <xf numFmtId="0" fontId="33" fillId="0" borderId="71" xfId="6" applyFont="1" applyBorder="1" applyAlignment="1">
      <alignment wrapText="1"/>
    </xf>
    <xf numFmtId="3" fontId="33" fillId="0" borderId="16" xfId="6" applyNumberFormat="1" applyFont="1" applyBorder="1"/>
    <xf numFmtId="3" fontId="37" fillId="0" borderId="16" xfId="6" applyNumberFormat="1" applyFont="1" applyBorder="1"/>
    <xf numFmtId="0" fontId="33" fillId="0" borderId="23" xfId="6" applyFont="1" applyBorder="1" applyAlignment="1">
      <alignment horizontal="center" wrapText="1"/>
    </xf>
    <xf numFmtId="0" fontId="33" fillId="0" borderId="25" xfId="6" applyFont="1" applyBorder="1" applyAlignment="1">
      <alignment horizontal="center" wrapText="1"/>
    </xf>
    <xf numFmtId="0" fontId="33" fillId="0" borderId="26" xfId="6" applyFont="1" applyBorder="1" applyAlignment="1">
      <alignment wrapText="1"/>
    </xf>
    <xf numFmtId="3" fontId="33" fillId="0" borderId="10" xfId="6" applyNumberFormat="1" applyFont="1" applyBorder="1"/>
    <xf numFmtId="3" fontId="37" fillId="0" borderId="10" xfId="6" applyNumberFormat="1" applyFont="1" applyBorder="1"/>
    <xf numFmtId="0" fontId="35" fillId="8" borderId="49" xfId="6" applyFont="1" applyFill="1" applyBorder="1" applyAlignment="1">
      <alignment wrapText="1"/>
    </xf>
    <xf numFmtId="3" fontId="35" fillId="8" borderId="34" xfId="6" applyNumberFormat="1" applyFont="1" applyFill="1" applyBorder="1"/>
    <xf numFmtId="3" fontId="38" fillId="8" borderId="34" xfId="6" applyNumberFormat="1" applyFont="1" applyFill="1" applyBorder="1"/>
    <xf numFmtId="3" fontId="38" fillId="0" borderId="0" xfId="0" applyNumberFormat="1" applyFont="1" applyAlignment="1">
      <alignment horizontal="center"/>
    </xf>
    <xf numFmtId="3" fontId="38" fillId="0" borderId="10" xfId="6" applyNumberFormat="1" applyFont="1" applyBorder="1"/>
    <xf numFmtId="3" fontId="35" fillId="0" borderId="10" xfId="6" applyNumberFormat="1" applyFont="1" applyBorder="1"/>
    <xf numFmtId="0" fontId="33" fillId="0" borderId="0" xfId="6" applyFont="1" applyAlignment="1">
      <alignment horizontal="center" wrapText="1"/>
    </xf>
    <xf numFmtId="0" fontId="33" fillId="0" borderId="14" xfId="6" applyFont="1" applyBorder="1" applyAlignment="1">
      <alignment horizontal="center" wrapText="1"/>
    </xf>
    <xf numFmtId="0" fontId="33" fillId="0" borderId="69" xfId="6" applyFont="1" applyBorder="1" applyAlignment="1">
      <alignment wrapText="1"/>
    </xf>
    <xf numFmtId="3" fontId="33" fillId="0" borderId="36" xfId="6" applyNumberFormat="1" applyFont="1" applyBorder="1"/>
    <xf numFmtId="3" fontId="38" fillId="0" borderId="36" xfId="6" applyNumberFormat="1" applyFont="1" applyBorder="1"/>
    <xf numFmtId="0" fontId="33" fillId="0" borderId="19" xfId="6" applyFont="1" applyBorder="1" applyAlignment="1">
      <alignment horizontal="center" wrapText="1"/>
    </xf>
    <xf numFmtId="0" fontId="33" fillId="0" borderId="70" xfId="6" applyFont="1" applyBorder="1" applyAlignment="1">
      <alignment wrapText="1"/>
    </xf>
    <xf numFmtId="3" fontId="33" fillId="0" borderId="11" xfId="6" applyNumberFormat="1" applyFont="1" applyBorder="1"/>
    <xf numFmtId="3" fontId="37" fillId="0" borderId="11" xfId="6" applyNumberFormat="1" applyFont="1" applyBorder="1"/>
    <xf numFmtId="3" fontId="38" fillId="0" borderId="11" xfId="6" applyNumberFormat="1" applyFont="1" applyBorder="1"/>
    <xf numFmtId="3" fontId="35" fillId="0" borderId="11" xfId="6" applyNumberFormat="1" applyFont="1" applyBorder="1"/>
    <xf numFmtId="3" fontId="32" fillId="0" borderId="3" xfId="0" applyNumberFormat="1" applyFont="1" applyBorder="1"/>
    <xf numFmtId="3" fontId="48" fillId="0" borderId="3" xfId="0" applyNumberFormat="1" applyFont="1" applyBorder="1"/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1" fillId="22" borderId="0" xfId="0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0" fontId="32" fillId="2" borderId="5" xfId="6" applyFont="1" applyFill="1" applyBorder="1" applyAlignment="1">
      <alignment horizontal="center" vertical="center"/>
    </xf>
    <xf numFmtId="0" fontId="33" fillId="0" borderId="13" xfId="6" applyFont="1" applyBorder="1" applyAlignment="1">
      <alignment wrapText="1"/>
    </xf>
    <xf numFmtId="0" fontId="33" fillId="0" borderId="25" xfId="6" applyFont="1" applyBorder="1" applyAlignment="1">
      <alignment wrapText="1"/>
    </xf>
    <xf numFmtId="0" fontId="35" fillId="8" borderId="37" xfId="6" applyFont="1" applyFill="1" applyBorder="1" applyAlignment="1">
      <alignment wrapText="1"/>
    </xf>
    <xf numFmtId="0" fontId="33" fillId="0" borderId="38" xfId="6" applyFont="1" applyBorder="1" applyAlignment="1">
      <alignment wrapText="1"/>
    </xf>
    <xf numFmtId="0" fontId="33" fillId="0" borderId="41" xfId="6" applyFont="1" applyBorder="1" applyAlignment="1">
      <alignment horizontal="center" wrapText="1"/>
    </xf>
    <xf numFmtId="0" fontId="33" fillId="0" borderId="38" xfId="6" applyFont="1" applyBorder="1" applyAlignment="1">
      <alignment horizontal="center" wrapText="1"/>
    </xf>
    <xf numFmtId="0" fontId="33" fillId="0" borderId="29" xfId="6" applyFont="1" applyBorder="1" applyAlignment="1">
      <alignment horizontal="center" wrapText="1"/>
    </xf>
    <xf numFmtId="0" fontId="33" fillId="0" borderId="24" xfId="6" applyFont="1" applyBorder="1" applyAlignment="1">
      <alignment horizontal="center" wrapText="1"/>
    </xf>
    <xf numFmtId="3" fontId="35" fillId="0" borderId="12" xfId="6" applyNumberFormat="1" applyFont="1" applyBorder="1"/>
    <xf numFmtId="3" fontId="33" fillId="0" borderId="12" xfId="6" applyNumberFormat="1" applyFont="1" applyBorder="1"/>
    <xf numFmtId="0" fontId="33" fillId="0" borderId="72" xfId="6" applyFont="1" applyBorder="1" applyAlignment="1">
      <alignment wrapText="1"/>
    </xf>
    <xf numFmtId="3" fontId="35" fillId="0" borderId="36" xfId="6" applyNumberFormat="1" applyFont="1" applyBorder="1"/>
    <xf numFmtId="0" fontId="54" fillId="24" borderId="0" xfId="0" applyFont="1" applyFill="1"/>
    <xf numFmtId="0" fontId="35" fillId="2" borderId="5" xfId="6" applyFont="1" applyFill="1" applyBorder="1" applyAlignment="1">
      <alignment horizontal="center" vertical="center" wrapText="1"/>
    </xf>
    <xf numFmtId="3" fontId="35" fillId="2" borderId="4" xfId="5" applyNumberFormat="1" applyFont="1" applyFill="1" applyBorder="1" applyAlignment="1">
      <alignment horizontal="center" vertical="center" wrapText="1"/>
    </xf>
    <xf numFmtId="3" fontId="38" fillId="2" borderId="4" xfId="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3" fillId="22" borderId="0" xfId="0" applyFont="1" applyFill="1" applyAlignment="1">
      <alignment vertical="center" wrapText="1"/>
    </xf>
    <xf numFmtId="0" fontId="33" fillId="0" borderId="18" xfId="6" applyFont="1" applyBorder="1" applyAlignment="1">
      <alignment horizontal="center" vertical="center" wrapText="1"/>
    </xf>
    <xf numFmtId="0" fontId="33" fillId="0" borderId="13" xfId="6" applyFont="1" applyBorder="1" applyAlignment="1">
      <alignment horizontal="center" vertical="center" wrapText="1"/>
    </xf>
    <xf numFmtId="0" fontId="33" fillId="0" borderId="13" xfId="6" applyFont="1" applyBorder="1" applyAlignment="1">
      <alignment vertical="center" wrapText="1"/>
    </xf>
    <xf numFmtId="3" fontId="33" fillId="0" borderId="16" xfId="6" applyNumberFormat="1" applyFont="1" applyBorder="1" applyAlignment="1">
      <alignment vertical="center"/>
    </xf>
    <xf numFmtId="3" fontId="37" fillId="0" borderId="16" xfId="6" applyNumberFormat="1" applyFont="1" applyBorder="1" applyAlignment="1">
      <alignment vertical="center"/>
    </xf>
    <xf numFmtId="3" fontId="33" fillId="0" borderId="11" xfId="6" applyNumberFormat="1" applyFont="1" applyBorder="1" applyAlignment="1">
      <alignment vertical="center"/>
    </xf>
    <xf numFmtId="3" fontId="37" fillId="0" borderId="10" xfId="6" applyNumberFormat="1" applyFont="1" applyBorder="1" applyAlignment="1">
      <alignment vertical="center"/>
    </xf>
    <xf numFmtId="3" fontId="33" fillId="0" borderId="12" xfId="6" applyNumberFormat="1" applyFont="1" applyBorder="1" applyAlignment="1">
      <alignment vertical="center"/>
    </xf>
    <xf numFmtId="3" fontId="37" fillId="0" borderId="36" xfId="6" applyNumberFormat="1" applyFont="1" applyBorder="1" applyAlignment="1">
      <alignment vertical="center"/>
    </xf>
    <xf numFmtId="0" fontId="35" fillId="0" borderId="37" xfId="6" applyFont="1" applyBorder="1" applyAlignment="1">
      <alignment wrapText="1"/>
    </xf>
    <xf numFmtId="3" fontId="35" fillId="0" borderId="34" xfId="6" applyNumberFormat="1" applyFont="1" applyBorder="1"/>
    <xf numFmtId="3" fontId="38" fillId="0" borderId="34" xfId="6" applyNumberFormat="1" applyFont="1" applyBorder="1"/>
    <xf numFmtId="3" fontId="41" fillId="5" borderId="0" xfId="0" applyNumberFormat="1" applyFont="1" applyFill="1" applyAlignment="1">
      <alignment horizontal="center"/>
    </xf>
    <xf numFmtId="3" fontId="38" fillId="5" borderId="0" xfId="0" applyNumberFormat="1" applyFont="1" applyFill="1" applyAlignment="1">
      <alignment horizontal="center"/>
    </xf>
    <xf numFmtId="3" fontId="32" fillId="5" borderId="3" xfId="0" applyNumberFormat="1" applyFont="1" applyFill="1" applyBorder="1"/>
    <xf numFmtId="3" fontId="48" fillId="5" borderId="3" xfId="0" applyNumberFormat="1" applyFont="1" applyFill="1" applyBorder="1"/>
    <xf numFmtId="0" fontId="141" fillId="0" borderId="0" xfId="5" applyFont="1" applyAlignment="1">
      <alignment horizontal="center"/>
    </xf>
    <xf numFmtId="0" fontId="141" fillId="0" borderId="0" xfId="6" applyFont="1" applyAlignment="1">
      <alignment horizontal="center"/>
    </xf>
    <xf numFmtId="0" fontId="141" fillId="0" borderId="0" xfId="0" applyFont="1" applyAlignment="1">
      <alignment horizontal="center"/>
    </xf>
    <xf numFmtId="49" fontId="128" fillId="2" borderId="2" xfId="6" applyNumberFormat="1" applyFont="1" applyFill="1" applyBorder="1" applyAlignment="1">
      <alignment horizontal="center" vertical="center" wrapText="1"/>
    </xf>
    <xf numFmtId="49" fontId="128" fillId="2" borderId="5" xfId="6" applyNumberFormat="1" applyFont="1" applyFill="1" applyBorder="1" applyAlignment="1">
      <alignment horizontal="center" vertical="center" wrapText="1"/>
    </xf>
    <xf numFmtId="0" fontId="128" fillId="2" borderId="5" xfId="6" applyFont="1" applyFill="1" applyBorder="1" applyAlignment="1">
      <alignment horizontal="center" vertical="center"/>
    </xf>
    <xf numFmtId="3" fontId="128" fillId="2" borderId="3" xfId="5" applyNumberFormat="1" applyFont="1" applyFill="1" applyBorder="1" applyAlignment="1">
      <alignment horizontal="center" vertical="center" wrapText="1"/>
    </xf>
    <xf numFmtId="3" fontId="132" fillId="2" borderId="3" xfId="5" applyNumberFormat="1" applyFont="1" applyFill="1" applyBorder="1" applyAlignment="1">
      <alignment horizontal="center" vertical="center" wrapText="1"/>
    </xf>
    <xf numFmtId="0" fontId="129" fillId="0" borderId="18" xfId="6" applyFont="1" applyBorder="1" applyAlignment="1">
      <alignment horizontal="center" wrapText="1"/>
    </xf>
    <xf numFmtId="0" fontId="129" fillId="0" borderId="13" xfId="6" applyFont="1" applyBorder="1" applyAlignment="1">
      <alignment horizontal="center" wrapText="1"/>
    </xf>
    <xf numFmtId="0" fontId="129" fillId="0" borderId="13" xfId="6" applyFont="1" applyBorder="1" applyAlignment="1">
      <alignment wrapText="1"/>
    </xf>
    <xf numFmtId="3" fontId="129" fillId="0" borderId="16" xfId="6" applyNumberFormat="1" applyFont="1" applyBorder="1"/>
    <xf numFmtId="3" fontId="51" fillId="0" borderId="16" xfId="6" applyNumberFormat="1" applyFont="1" applyBorder="1"/>
    <xf numFmtId="0" fontId="129" fillId="0" borderId="23" xfId="6" applyFont="1" applyBorder="1" applyAlignment="1">
      <alignment horizontal="center" wrapText="1"/>
    </xf>
    <xf numFmtId="0" fontId="129" fillId="0" borderId="25" xfId="6" applyFont="1" applyBorder="1" applyAlignment="1">
      <alignment horizontal="center" wrapText="1"/>
    </xf>
    <xf numFmtId="0" fontId="129" fillId="0" borderId="25" xfId="6" applyFont="1" applyBorder="1" applyAlignment="1">
      <alignment wrapText="1"/>
    </xf>
    <xf numFmtId="3" fontId="129" fillId="0" borderId="10" xfId="6" applyNumberFormat="1" applyFont="1" applyBorder="1"/>
    <xf numFmtId="3" fontId="51" fillId="0" borderId="10" xfId="6" applyNumberFormat="1" applyFont="1" applyBorder="1"/>
    <xf numFmtId="0" fontId="128" fillId="8" borderId="37" xfId="6" applyFont="1" applyFill="1" applyBorder="1" applyAlignment="1">
      <alignment wrapText="1"/>
    </xf>
    <xf numFmtId="3" fontId="128" fillId="8" borderId="34" xfId="6" applyNumberFormat="1" applyFont="1" applyFill="1" applyBorder="1"/>
    <xf numFmtId="3" fontId="132" fillId="8" borderId="34" xfId="6" applyNumberFormat="1" applyFont="1" applyFill="1" applyBorder="1"/>
    <xf numFmtId="3" fontId="141" fillId="0" borderId="0" xfId="0" applyNumberFormat="1" applyFont="1" applyAlignment="1">
      <alignment horizontal="center"/>
    </xf>
    <xf numFmtId="3" fontId="128" fillId="0" borderId="10" xfId="6" applyNumberFormat="1" applyFont="1" applyBorder="1"/>
    <xf numFmtId="3" fontId="132" fillId="0" borderId="10" xfId="6" applyNumberFormat="1" applyFont="1" applyBorder="1"/>
    <xf numFmtId="3" fontId="129" fillId="0" borderId="11" xfId="6" applyNumberFormat="1" applyFont="1" applyBorder="1"/>
    <xf numFmtId="0" fontId="129" fillId="0" borderId="38" xfId="6" applyFont="1" applyBorder="1" applyAlignment="1">
      <alignment wrapText="1"/>
    </xf>
    <xf numFmtId="3" fontId="129" fillId="0" borderId="36" xfId="6" applyNumberFormat="1" applyFont="1" applyBorder="1"/>
    <xf numFmtId="3" fontId="51" fillId="0" borderId="36" xfId="6" applyNumberFormat="1" applyFont="1" applyBorder="1"/>
    <xf numFmtId="3" fontId="128" fillId="5" borderId="3" xfId="0" applyNumberFormat="1" applyFont="1" applyFill="1" applyBorder="1"/>
    <xf numFmtId="3" fontId="132" fillId="5" borderId="3" xfId="0" applyNumberFormat="1" applyFont="1" applyFill="1" applyBorder="1"/>
    <xf numFmtId="0" fontId="128" fillId="0" borderId="0" xfId="0" applyFont="1" applyAlignment="1">
      <alignment horizontal="left" wrapText="1"/>
    </xf>
    <xf numFmtId="0" fontId="141" fillId="22" borderId="0" xfId="0" applyFont="1" applyFill="1" applyAlignment="1">
      <alignment horizontal="center"/>
    </xf>
    <xf numFmtId="0" fontId="129" fillId="0" borderId="0" xfId="5" applyFont="1"/>
    <xf numFmtId="0" fontId="51" fillId="0" borderId="0" xfId="5" applyFont="1"/>
    <xf numFmtId="0" fontId="141" fillId="0" borderId="0" xfId="5" applyFont="1"/>
    <xf numFmtId="0" fontId="51" fillId="0" borderId="0" xfId="5" applyFont="1" applyAlignment="1">
      <alignment horizontal="center"/>
    </xf>
    <xf numFmtId="0" fontId="129" fillId="22" borderId="0" xfId="5" applyFont="1" applyFill="1"/>
    <xf numFmtId="0" fontId="129" fillId="0" borderId="0" xfId="6" applyFont="1"/>
    <xf numFmtId="0" fontId="51" fillId="0" borderId="0" xfId="6" applyFont="1"/>
    <xf numFmtId="0" fontId="141" fillId="0" borderId="0" xfId="6" applyFont="1"/>
    <xf numFmtId="0" fontId="51" fillId="0" borderId="0" xfId="6" applyFont="1" applyAlignment="1">
      <alignment horizontal="center"/>
    </xf>
    <xf numFmtId="0" fontId="129" fillId="22" borderId="0" xfId="6" applyFont="1" applyFill="1"/>
    <xf numFmtId="0" fontId="129" fillId="0" borderId="0" xfId="0" applyFont="1"/>
    <xf numFmtId="3" fontId="129" fillId="0" borderId="0" xfId="0" applyNumberFormat="1" applyFont="1" applyAlignment="1">
      <alignment horizontal="center"/>
    </xf>
    <xf numFmtId="3" fontId="51" fillId="0" borderId="0" xfId="0" applyNumberFormat="1" applyFont="1"/>
    <xf numFmtId="0" fontId="141" fillId="0" borderId="0" xfId="0" applyFont="1"/>
    <xf numFmtId="0" fontId="51" fillId="0" borderId="0" xfId="0" applyFont="1" applyAlignment="1">
      <alignment horizontal="center"/>
    </xf>
    <xf numFmtId="0" fontId="129" fillId="22" borderId="0" xfId="0" applyFont="1" applyFill="1"/>
    <xf numFmtId="0" fontId="128" fillId="34" borderId="37" xfId="6" applyFont="1" applyFill="1" applyBorder="1" applyAlignment="1">
      <alignment wrapText="1"/>
    </xf>
    <xf numFmtId="3" fontId="128" fillId="34" borderId="34" xfId="6" applyNumberFormat="1" applyFont="1" applyFill="1" applyBorder="1"/>
    <xf numFmtId="3" fontId="132" fillId="34" borderId="34" xfId="6" applyNumberFormat="1" applyFont="1" applyFill="1" applyBorder="1"/>
    <xf numFmtId="3" fontId="141" fillId="0" borderId="0" xfId="0" applyNumberFormat="1" applyFont="1"/>
    <xf numFmtId="3" fontId="132" fillId="0" borderId="0" xfId="0" applyNumberFormat="1" applyFont="1" applyAlignment="1">
      <alignment horizontal="center"/>
    </xf>
    <xf numFmtId="0" fontId="128" fillId="22" borderId="0" xfId="0" applyFont="1" applyFill="1"/>
    <xf numFmtId="0" fontId="129" fillId="0" borderId="23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left" vertical="center" wrapText="1"/>
    </xf>
    <xf numFmtId="0" fontId="129" fillId="0" borderId="43" xfId="6" applyFont="1" applyBorder="1" applyAlignment="1">
      <alignment wrapText="1"/>
    </xf>
    <xf numFmtId="3" fontId="132" fillId="0" borderId="11" xfId="6" applyNumberFormat="1" applyFont="1" applyBorder="1"/>
    <xf numFmtId="0" fontId="129" fillId="0" borderId="27" xfId="6" applyFont="1" applyBorder="1" applyAlignment="1">
      <alignment wrapText="1"/>
    </xf>
    <xf numFmtId="0" fontId="129" fillId="0" borderId="0" xfId="6" applyFont="1" applyAlignment="1">
      <alignment horizontal="center" wrapText="1"/>
    </xf>
    <xf numFmtId="0" fontId="129" fillId="0" borderId="14" xfId="6" applyFont="1" applyBorder="1" applyAlignment="1">
      <alignment horizontal="center" wrapText="1"/>
    </xf>
    <xf numFmtId="3" fontId="132" fillId="0" borderId="36" xfId="6" applyNumberFormat="1" applyFont="1" applyBorder="1"/>
    <xf numFmtId="0" fontId="129" fillId="0" borderId="19" xfId="6" applyFont="1" applyBorder="1" applyAlignment="1">
      <alignment horizontal="center" wrapText="1"/>
    </xf>
    <xf numFmtId="0" fontId="129" fillId="0" borderId="14" xfId="6" applyFont="1" applyBorder="1" applyAlignment="1">
      <alignment wrapText="1"/>
    </xf>
    <xf numFmtId="3" fontId="51" fillId="0" borderId="11" xfId="6" applyNumberFormat="1" applyFont="1" applyBorder="1"/>
    <xf numFmtId="0" fontId="129" fillId="0" borderId="74" xfId="6" applyFont="1" applyBorder="1" applyAlignment="1">
      <alignment horizontal="center" wrapText="1"/>
    </xf>
    <xf numFmtId="0" fontId="129" fillId="0" borderId="24" xfId="6" applyFont="1" applyBorder="1" applyAlignment="1">
      <alignment wrapText="1"/>
    </xf>
    <xf numFmtId="3" fontId="129" fillId="0" borderId="12" xfId="6" applyNumberFormat="1" applyFont="1" applyBorder="1"/>
    <xf numFmtId="3" fontId="132" fillId="0" borderId="12" xfId="6" applyNumberFormat="1" applyFont="1" applyBorder="1"/>
    <xf numFmtId="3" fontId="128" fillId="0" borderId="11" xfId="6" applyNumberFormat="1" applyFont="1" applyBorder="1"/>
    <xf numFmtId="0" fontId="129" fillId="0" borderId="29" xfId="6" applyFont="1" applyBorder="1" applyAlignment="1">
      <alignment horizontal="center" wrapText="1"/>
    </xf>
    <xf numFmtId="0" fontId="129" fillId="0" borderId="24" xfId="6" applyFont="1" applyBorder="1" applyAlignment="1">
      <alignment horizontal="center" wrapText="1"/>
    </xf>
    <xf numFmtId="0" fontId="129" fillId="0" borderId="38" xfId="6" applyFont="1" applyBorder="1" applyAlignment="1">
      <alignment horizontal="center" wrapText="1"/>
    </xf>
    <xf numFmtId="0" fontId="129" fillId="0" borderId="41" xfId="6" applyFont="1" applyBorder="1" applyAlignment="1">
      <alignment horizontal="center" wrapText="1"/>
    </xf>
    <xf numFmtId="3" fontId="51" fillId="0" borderId="12" xfId="6" applyNumberFormat="1" applyFont="1" applyBorder="1"/>
    <xf numFmtId="3" fontId="128" fillId="0" borderId="36" xfId="6" applyNumberFormat="1" applyFont="1" applyBorder="1"/>
    <xf numFmtId="0" fontId="128" fillId="0" borderId="13" xfId="6" applyFont="1" applyBorder="1" applyAlignment="1">
      <alignment wrapText="1"/>
    </xf>
    <xf numFmtId="3" fontId="132" fillId="0" borderId="16" xfId="6" applyNumberFormat="1" applyFont="1" applyBorder="1"/>
    <xf numFmtId="0" fontId="128" fillId="0" borderId="14" xfId="6" applyFont="1" applyBorder="1" applyAlignment="1">
      <alignment wrapText="1"/>
    </xf>
    <xf numFmtId="3" fontId="51" fillId="5" borderId="16" xfId="6" applyNumberFormat="1" applyFont="1" applyFill="1" applyBorder="1"/>
    <xf numFmtId="0" fontId="132" fillId="0" borderId="0" xfId="0" applyFont="1" applyAlignment="1">
      <alignment horizontal="center"/>
    </xf>
    <xf numFmtId="3" fontId="129" fillId="0" borderId="0" xfId="0" applyNumberFormat="1" applyFont="1"/>
    <xf numFmtId="0" fontId="51" fillId="0" borderId="0" xfId="0" applyFont="1"/>
    <xf numFmtId="0" fontId="51" fillId="22" borderId="0" xfId="0" applyFont="1" applyFill="1"/>
    <xf numFmtId="0" fontId="129" fillId="0" borderId="0" xfId="3" applyFont="1"/>
    <xf numFmtId="3" fontId="129" fillId="22" borderId="0" xfId="0" applyNumberFormat="1" applyFont="1" applyFill="1"/>
    <xf numFmtId="3" fontId="51" fillId="22" borderId="0" xfId="0" applyNumberFormat="1" applyFont="1" applyFill="1"/>
    <xf numFmtId="0" fontId="141" fillId="22" borderId="0" xfId="0" applyFont="1" applyFill="1"/>
    <xf numFmtId="0" fontId="51" fillId="22" borderId="0" xfId="0" applyFont="1" applyFill="1" applyAlignment="1">
      <alignment horizontal="center"/>
    </xf>
    <xf numFmtId="0" fontId="32" fillId="0" borderId="0" xfId="5" applyFont="1" applyAlignment="1">
      <alignment horizontal="left"/>
    </xf>
    <xf numFmtId="0" fontId="129" fillId="0" borderId="0" xfId="0" applyFont="1" applyAlignment="1">
      <alignment horizontal="right"/>
    </xf>
    <xf numFmtId="0" fontId="129" fillId="0" borderId="18" xfId="6" applyFont="1" applyBorder="1" applyAlignment="1">
      <alignment horizontal="right" wrapText="1"/>
    </xf>
    <xf numFmtId="0" fontId="129" fillId="0" borderId="23" xfId="6" applyFont="1" applyBorder="1" applyAlignment="1">
      <alignment horizontal="right" wrapText="1"/>
    </xf>
    <xf numFmtId="0" fontId="129" fillId="0" borderId="19" xfId="6" applyFont="1" applyBorder="1" applyAlignment="1">
      <alignment horizontal="right" wrapText="1"/>
    </xf>
    <xf numFmtId="0" fontId="129" fillId="0" borderId="29" xfId="6" applyFont="1" applyBorder="1" applyAlignment="1">
      <alignment horizontal="right" wrapText="1"/>
    </xf>
    <xf numFmtId="0" fontId="129" fillId="0" borderId="41" xfId="6" applyFont="1" applyBorder="1" applyAlignment="1">
      <alignment horizontal="right" wrapText="1"/>
    </xf>
    <xf numFmtId="0" fontId="51" fillId="0" borderId="0" xfId="0" applyFont="1" applyAlignment="1">
      <alignment horizontal="right"/>
    </xf>
    <xf numFmtId="0" fontId="129" fillId="22" borderId="0" xfId="3" applyFont="1" applyFill="1" applyAlignment="1">
      <alignment horizontal="right"/>
    </xf>
    <xf numFmtId="0" fontId="129" fillId="22" borderId="0" xfId="0" applyFont="1" applyFill="1" applyAlignment="1">
      <alignment horizontal="right"/>
    </xf>
    <xf numFmtId="0" fontId="54" fillId="24" borderId="0" xfId="0" applyFont="1" applyFill="1" applyAlignment="1">
      <alignment wrapText="1"/>
    </xf>
    <xf numFmtId="0" fontId="129" fillId="0" borderId="0" xfId="0" applyFont="1" applyAlignment="1">
      <alignment horizontal="center" wrapText="1"/>
    </xf>
    <xf numFmtId="0" fontId="41" fillId="0" borderId="0" xfId="5" applyFont="1"/>
    <xf numFmtId="0" fontId="41" fillId="0" borderId="0" xfId="6" applyFont="1"/>
    <xf numFmtId="3" fontId="4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3" fontId="37" fillId="0" borderId="0" xfId="0" applyNumberFormat="1" applyFont="1" applyAlignment="1">
      <alignment horizontal="center"/>
    </xf>
    <xf numFmtId="3" fontId="33" fillId="0" borderId="10" xfId="6" applyNumberFormat="1" applyFont="1" applyBorder="1" applyAlignment="1">
      <alignment vertical="center"/>
    </xf>
    <xf numFmtId="0" fontId="41" fillId="0" borderId="0" xfId="0" applyFont="1"/>
    <xf numFmtId="3" fontId="38" fillId="22" borderId="0" xfId="0" applyNumberFormat="1" applyFont="1" applyFill="1" applyAlignment="1">
      <alignment horizontal="center"/>
    </xf>
    <xf numFmtId="0" fontId="38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7" fillId="5" borderId="4" xfId="0" applyFont="1" applyFill="1" applyBorder="1"/>
    <xf numFmtId="0" fontId="107" fillId="5" borderId="97" xfId="0" applyFont="1" applyFill="1" applyBorder="1"/>
    <xf numFmtId="0" fontId="106" fillId="28" borderId="16" xfId="0" applyFont="1" applyFill="1" applyBorder="1"/>
    <xf numFmtId="0" fontId="106" fillId="28" borderId="60" xfId="0" applyFont="1" applyFill="1" applyBorder="1" applyAlignment="1">
      <alignment horizontal="right"/>
    </xf>
    <xf numFmtId="0" fontId="106" fillId="28" borderId="11" xfId="0" applyFont="1" applyFill="1" applyBorder="1"/>
    <xf numFmtId="0" fontId="106" fillId="28" borderId="43" xfId="0" applyFont="1" applyFill="1" applyBorder="1" applyAlignment="1">
      <alignment horizontal="right"/>
    </xf>
    <xf numFmtId="0" fontId="106" fillId="28" borderId="37" xfId="0" applyFont="1" applyFill="1" applyBorder="1"/>
    <xf numFmtId="0" fontId="106" fillId="28" borderId="33" xfId="0" applyFont="1" applyFill="1" applyBorder="1" applyAlignment="1">
      <alignment horizontal="right"/>
    </xf>
    <xf numFmtId="0" fontId="106" fillId="8" borderId="27" xfId="0" applyFont="1" applyFill="1" applyBorder="1" applyAlignment="1">
      <alignment horizontal="right"/>
    </xf>
    <xf numFmtId="0" fontId="106" fillId="8" borderId="66" xfId="0" applyFont="1" applyFill="1" applyBorder="1" applyAlignment="1">
      <alignment horizontal="right"/>
    </xf>
    <xf numFmtId="0" fontId="106" fillId="22" borderId="0" xfId="0" applyFont="1" applyFill="1" applyAlignment="1">
      <alignment horizontal="center"/>
    </xf>
    <xf numFmtId="0" fontId="106" fillId="8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left"/>
    </xf>
    <xf numFmtId="0" fontId="106" fillId="22" borderId="21" xfId="0" applyFont="1" applyFill="1" applyBorder="1"/>
    <xf numFmtId="0" fontId="106" fillId="8" borderId="14" xfId="0" applyFont="1" applyFill="1" applyBorder="1" applyAlignment="1">
      <alignment horizontal="left"/>
    </xf>
    <xf numFmtId="0" fontId="108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6" fillId="29" borderId="10" xfId="0" applyFont="1" applyFill="1" applyBorder="1"/>
    <xf numFmtId="169" fontId="106" fillId="29" borderId="19" xfId="0" applyNumberFormat="1" applyFont="1" applyFill="1" applyBorder="1" applyAlignment="1">
      <alignment horizontal="right" indent="1"/>
    </xf>
    <xf numFmtId="169" fontId="106" fillId="29" borderId="42" xfId="0" applyNumberFormat="1" applyFont="1" applyFill="1" applyBorder="1" applyAlignment="1">
      <alignment horizontal="right" indent="1"/>
    </xf>
    <xf numFmtId="169" fontId="106" fillId="29" borderId="25" xfId="0" applyNumberFormat="1" applyFont="1" applyFill="1" applyBorder="1" applyAlignment="1">
      <alignment horizontal="right" indent="1"/>
    </xf>
    <xf numFmtId="168" fontId="106" fillId="29" borderId="14" xfId="0" applyNumberFormat="1" applyFont="1" applyFill="1" applyBorder="1"/>
    <xf numFmtId="0" fontId="106" fillId="29" borderId="7" xfId="0" applyFont="1" applyFill="1" applyBorder="1"/>
    <xf numFmtId="0" fontId="106" fillId="29" borderId="11" xfId="0" applyFont="1" applyFill="1" applyBorder="1" applyAlignment="1">
      <alignment horizontal="center"/>
    </xf>
    <xf numFmtId="0" fontId="106" fillId="29" borderId="11" xfId="0" applyFont="1" applyFill="1" applyBorder="1"/>
    <xf numFmtId="169" fontId="106" fillId="29" borderId="23" xfId="0" applyNumberFormat="1" applyFont="1" applyFill="1" applyBorder="1" applyAlignment="1">
      <alignment horizontal="right" indent="1"/>
    </xf>
    <xf numFmtId="169" fontId="106" fillId="29" borderId="25" xfId="0" applyNumberFormat="1" applyFont="1" applyFill="1" applyBorder="1"/>
    <xf numFmtId="0" fontId="106" fillId="29" borderId="10" xfId="0" applyFont="1" applyFill="1" applyBorder="1" applyAlignment="1">
      <alignment horizontal="center"/>
    </xf>
    <xf numFmtId="0" fontId="106" fillId="29" borderId="12" xfId="0" applyFont="1" applyFill="1" applyBorder="1"/>
    <xf numFmtId="169" fontId="106" fillId="29" borderId="29" xfId="0" applyNumberFormat="1" applyFont="1" applyFill="1" applyBorder="1" applyAlignment="1">
      <alignment horizontal="right" indent="1"/>
    </xf>
    <xf numFmtId="169" fontId="106" fillId="29" borderId="24" xfId="0" applyNumberFormat="1" applyFont="1" applyFill="1" applyBorder="1" applyAlignment="1">
      <alignment horizontal="right" indent="1"/>
    </xf>
    <xf numFmtId="169" fontId="106" fillId="29" borderId="69" xfId="0" applyNumberFormat="1" applyFont="1" applyFill="1" applyBorder="1"/>
    <xf numFmtId="0" fontId="106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3" fillId="0" borderId="0" xfId="6" applyFont="1" applyAlignment="1">
      <alignment horizontal="left"/>
    </xf>
    <xf numFmtId="0" fontId="33" fillId="0" borderId="7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35" fillId="4" borderId="6" xfId="7" applyFont="1" applyFill="1" applyBorder="1" applyAlignment="1">
      <alignment horizontal="center"/>
    </xf>
    <xf numFmtId="0" fontId="60" fillId="0" borderId="58" xfId="0" applyFont="1" applyBorder="1" applyAlignment="1">
      <alignment wrapText="1"/>
    </xf>
    <xf numFmtId="3" fontId="43" fillId="0" borderId="0" xfId="5" applyNumberFormat="1" applyFont="1"/>
    <xf numFmtId="3" fontId="129" fillId="0" borderId="0" xfId="5" applyNumberFormat="1" applyFont="1"/>
    <xf numFmtId="3" fontId="43" fillId="0" borderId="0" xfId="6" applyNumberFormat="1" applyFont="1" applyAlignment="1">
      <alignment horizontal="left"/>
    </xf>
    <xf numFmtId="3" fontId="129" fillId="0" borderId="0" xfId="6" applyNumberFormat="1" applyFont="1"/>
    <xf numFmtId="0" fontId="128" fillId="2" borderId="50" xfId="6" applyFont="1" applyFill="1" applyBorder="1" applyAlignment="1">
      <alignment horizontal="center" vertical="center"/>
    </xf>
    <xf numFmtId="0" fontId="129" fillId="0" borderId="71" xfId="6" applyFont="1" applyBorder="1" applyAlignment="1">
      <alignment wrapText="1"/>
    </xf>
    <xf numFmtId="0" fontId="129" fillId="0" borderId="26" xfId="6" applyFont="1" applyBorder="1" applyAlignment="1">
      <alignment wrapText="1"/>
    </xf>
    <xf numFmtId="0" fontId="128" fillId="34" borderId="49" xfId="6" applyFont="1" applyFill="1" applyBorder="1" applyAlignment="1">
      <alignment wrapText="1"/>
    </xf>
    <xf numFmtId="0" fontId="129" fillId="0" borderId="70" xfId="6" applyFont="1" applyBorder="1" applyAlignment="1">
      <alignment wrapText="1"/>
    </xf>
    <xf numFmtId="0" fontId="129" fillId="0" borderId="69" xfId="6" applyFont="1" applyBorder="1" applyAlignment="1">
      <alignment wrapText="1"/>
    </xf>
    <xf numFmtId="0" fontId="129" fillId="0" borderId="72" xfId="6" applyFont="1" applyBorder="1" applyAlignment="1">
      <alignment wrapText="1"/>
    </xf>
    <xf numFmtId="3" fontId="129" fillId="0" borderId="16" xfId="6" applyNumberFormat="1" applyFont="1" applyBorder="1" applyAlignment="1">
      <alignment wrapText="1"/>
    </xf>
    <xf numFmtId="3" fontId="129" fillId="0" borderId="10" xfId="6" applyNumberFormat="1" applyFont="1" applyBorder="1" applyAlignment="1">
      <alignment wrapText="1"/>
    </xf>
    <xf numFmtId="3" fontId="128" fillId="34" borderId="34" xfId="6" applyNumberFormat="1" applyFont="1" applyFill="1" applyBorder="1" applyAlignment="1">
      <alignment wrapText="1"/>
    </xf>
    <xf numFmtId="3" fontId="129" fillId="0" borderId="11" xfId="6" applyNumberFormat="1" applyFont="1" applyBorder="1" applyAlignment="1">
      <alignment wrapText="1"/>
    </xf>
    <xf numFmtId="3" fontId="129" fillId="0" borderId="36" xfId="6" applyNumberFormat="1" applyFont="1" applyBorder="1" applyAlignment="1">
      <alignment wrapText="1"/>
    </xf>
    <xf numFmtId="3" fontId="129" fillId="0" borderId="12" xfId="6" applyNumberFormat="1" applyFont="1" applyBorder="1" applyAlignment="1">
      <alignment wrapText="1"/>
    </xf>
    <xf numFmtId="3" fontId="128" fillId="5" borderId="3" xfId="0" applyNumberFormat="1" applyFont="1" applyFill="1" applyBorder="1" applyAlignment="1">
      <alignment horizontal="right" wrapText="1"/>
    </xf>
    <xf numFmtId="0" fontId="35" fillId="2" borderId="50" xfId="6" applyFont="1" applyFill="1" applyBorder="1" applyAlignment="1">
      <alignment horizontal="center" vertical="center" wrapText="1"/>
    </xf>
    <xf numFmtId="0" fontId="33" fillId="0" borderId="71" xfId="6" applyFont="1" applyBorder="1" applyAlignment="1">
      <alignment vertical="center" wrapText="1"/>
    </xf>
    <xf numFmtId="0" fontId="33" fillId="0" borderId="70" xfId="6" applyFont="1" applyBorder="1" applyAlignment="1">
      <alignment vertical="center" wrapText="1"/>
    </xf>
    <xf numFmtId="0" fontId="33" fillId="0" borderId="26" xfId="6" applyFont="1" applyBorder="1" applyAlignment="1">
      <alignment vertical="center" wrapText="1"/>
    </xf>
    <xf numFmtId="0" fontId="35" fillId="0" borderId="49" xfId="6" applyFont="1" applyBorder="1" applyAlignment="1">
      <alignment wrapText="1"/>
    </xf>
    <xf numFmtId="0" fontId="35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4" fontId="0" fillId="28" borderId="0" xfId="0" applyNumberFormat="1" applyFill="1" applyAlignment="1">
      <alignment horizontal="right"/>
    </xf>
    <xf numFmtId="0" fontId="35" fillId="3" borderId="3" xfId="4" applyFont="1" applyFill="1" applyBorder="1" applyAlignment="1">
      <alignment horizontal="center" vertical="center" wrapText="1"/>
    </xf>
    <xf numFmtId="0" fontId="129" fillId="0" borderId="75" xfId="6" applyFont="1" applyBorder="1" applyAlignment="1">
      <alignment horizontal="center" wrapText="1"/>
    </xf>
    <xf numFmtId="0" fontId="33" fillId="0" borderId="68" xfId="0" applyFont="1" applyBorder="1" applyAlignment="1">
      <alignment wrapText="1"/>
    </xf>
    <xf numFmtId="3" fontId="83" fillId="22" borderId="0" xfId="0" applyNumberFormat="1" applyFont="1" applyFill="1"/>
    <xf numFmtId="3" fontId="97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129" fillId="37" borderId="11" xfId="0" applyNumberFormat="1" applyFont="1" applyFill="1" applyBorder="1"/>
    <xf numFmtId="0" fontId="129" fillId="0" borderId="59" xfId="6" applyFont="1" applyBorder="1" applyAlignment="1">
      <alignment horizontal="right" wrapText="1"/>
    </xf>
    <xf numFmtId="0" fontId="129" fillId="0" borderId="73" xfId="6" applyFont="1" applyBorder="1" applyAlignment="1">
      <alignment horizontal="right" wrapText="1"/>
    </xf>
    <xf numFmtId="0" fontId="33" fillId="0" borderId="2" xfId="7" applyFont="1" applyBorder="1"/>
    <xf numFmtId="0" fontId="33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20" fontId="134" fillId="0" borderId="0" xfId="0" applyNumberFormat="1" applyFont="1"/>
    <xf numFmtId="4" fontId="142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6" fillId="42" borderId="0" xfId="0" applyFont="1" applyFill="1" applyAlignment="1">
      <alignment horizontal="center" vertical="top" wrapText="1"/>
    </xf>
    <xf numFmtId="44" fontId="60" fillId="0" borderId="0" xfId="18" applyFont="1" applyAlignment="1">
      <alignment horizontal="center"/>
    </xf>
    <xf numFmtId="0" fontId="147" fillId="4" borderId="14" xfId="0" applyFont="1" applyFill="1" applyBorder="1" applyAlignment="1">
      <alignment horizontal="center" vertical="top" wrapText="1"/>
    </xf>
    <xf numFmtId="0" fontId="148" fillId="4" borderId="14" xfId="21" applyFont="1" applyFill="1" applyBorder="1" applyAlignment="1">
      <alignment horizontal="center" vertical="top" wrapText="1"/>
    </xf>
    <xf numFmtId="0" fontId="60" fillId="40" borderId="14" xfId="22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 wrapText="1"/>
    </xf>
    <xf numFmtId="166" fontId="149" fillId="19" borderId="14" xfId="0" applyNumberFormat="1" applyFont="1" applyFill="1" applyBorder="1" applyAlignment="1">
      <alignment horizontal="center" vertical="center" wrapText="1"/>
    </xf>
    <xf numFmtId="176" fontId="149" fillId="19" borderId="14" xfId="1" applyNumberFormat="1" applyFont="1" applyFill="1" applyBorder="1" applyAlignment="1">
      <alignment horizontal="center" vertical="center" wrapText="1"/>
    </xf>
    <xf numFmtId="177" fontId="149" fillId="0" borderId="14" xfId="18" applyNumberFormat="1" applyFont="1" applyBorder="1" applyAlignment="1">
      <alignment horizontal="center" vertical="center" wrapText="1"/>
    </xf>
    <xf numFmtId="177" fontId="149" fillId="4" borderId="14" xfId="18" applyNumberFormat="1" applyFont="1" applyFill="1" applyBorder="1" applyAlignment="1">
      <alignment horizontal="center" vertical="center" wrapText="1"/>
    </xf>
    <xf numFmtId="177" fontId="149" fillId="4" borderId="14" xfId="18" applyNumberFormat="1" applyFont="1" applyFill="1" applyBorder="1" applyAlignment="1">
      <alignment vertical="top" wrapText="1"/>
    </xf>
    <xf numFmtId="177" fontId="149" fillId="0" borderId="14" xfId="18" applyNumberFormat="1" applyFont="1" applyBorder="1" applyAlignment="1">
      <alignment vertical="top" wrapText="1"/>
    </xf>
    <xf numFmtId="177" fontId="60" fillId="41" borderId="14" xfId="18" applyNumberFormat="1" applyFont="1" applyFill="1" applyBorder="1" applyAlignment="1">
      <alignment horizontal="center" vertical="center" wrapText="1"/>
    </xf>
    <xf numFmtId="44" fontId="60" fillId="0" borderId="0" xfId="18" applyFont="1"/>
    <xf numFmtId="0" fontId="147" fillId="35" borderId="14" xfId="0" applyFont="1" applyFill="1" applyBorder="1" applyAlignment="1">
      <alignment horizontal="center" vertical="top" wrapText="1"/>
    </xf>
    <xf numFmtId="0" fontId="148" fillId="35" borderId="14" xfId="21" applyFont="1" applyFill="1" applyBorder="1" applyAlignment="1">
      <alignment horizontal="center" vertical="top" wrapText="1"/>
    </xf>
    <xf numFmtId="0" fontId="147" fillId="0" borderId="14" xfId="0" applyFont="1" applyBorder="1" applyAlignment="1">
      <alignment horizontal="center" vertical="top" wrapText="1"/>
    </xf>
    <xf numFmtId="0" fontId="148" fillId="0" borderId="14" xfId="21" applyFont="1" applyBorder="1" applyAlignment="1">
      <alignment horizontal="center" vertical="top" wrapText="1"/>
    </xf>
    <xf numFmtId="0" fontId="150" fillId="19" borderId="14" xfId="0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/>
    </xf>
    <xf numFmtId="176" fontId="150" fillId="19" borderId="14" xfId="1" applyNumberFormat="1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 wrapText="1"/>
    </xf>
    <xf numFmtId="177" fontId="150" fillId="0" borderId="14" xfId="18" applyNumberFormat="1" applyFont="1" applyBorder="1"/>
    <xf numFmtId="0" fontId="151" fillId="0" borderId="0" xfId="0" applyFont="1"/>
    <xf numFmtId="0" fontId="0" fillId="19" borderId="14" xfId="0" applyFill="1" applyBorder="1"/>
    <xf numFmtId="0" fontId="152" fillId="0" borderId="0" xfId="0" applyFont="1"/>
    <xf numFmtId="0" fontId="153" fillId="0" borderId="0" xfId="21" applyFont="1"/>
    <xf numFmtId="0" fontId="61" fillId="32" borderId="0" xfId="0" applyFont="1" applyFill="1"/>
    <xf numFmtId="177" fontId="154" fillId="39" borderId="76" xfId="20" applyNumberFormat="1" applyFont="1"/>
    <xf numFmtId="0" fontId="60" fillId="4" borderId="0" xfId="0" applyFont="1" applyFill="1"/>
    <xf numFmtId="177" fontId="155" fillId="39" borderId="98" xfId="19" applyNumberFormat="1" applyFont="1"/>
    <xf numFmtId="0" fontId="64" fillId="35" borderId="0" xfId="0" applyFont="1" applyFill="1"/>
    <xf numFmtId="168" fontId="0" fillId="0" borderId="0" xfId="0" applyNumberFormat="1" applyAlignment="1">
      <alignment horizontal="right"/>
    </xf>
    <xf numFmtId="3" fontId="129" fillId="4" borderId="12" xfId="6" applyNumberFormat="1" applyFont="1" applyFill="1" applyBorder="1"/>
    <xf numFmtId="3" fontId="129" fillId="4" borderId="11" xfId="6" applyNumberFormat="1" applyFont="1" applyFill="1" applyBorder="1"/>
    <xf numFmtId="3" fontId="129" fillId="4" borderId="10" xfId="6" applyNumberFormat="1" applyFont="1" applyFill="1" applyBorder="1"/>
    <xf numFmtId="0" fontId="129" fillId="4" borderId="71" xfId="6" applyFont="1" applyFill="1" applyBorder="1" applyAlignment="1">
      <alignment wrapText="1"/>
    </xf>
    <xf numFmtId="0" fontId="129" fillId="4" borderId="72" xfId="6" applyFont="1" applyFill="1" applyBorder="1" applyAlignment="1">
      <alignment wrapText="1"/>
    </xf>
    <xf numFmtId="4" fontId="120" fillId="25" borderId="76" xfId="11" applyNumberFormat="1" applyFont="1" applyAlignment="1">
      <alignment horizontal="center"/>
    </xf>
    <xf numFmtId="3" fontId="141" fillId="0" borderId="75" xfId="0" applyNumberFormat="1" applyFont="1" applyBorder="1"/>
    <xf numFmtId="0" fontId="51" fillId="0" borderId="72" xfId="6" applyFont="1" applyBorder="1" applyAlignment="1">
      <alignment wrapText="1"/>
    </xf>
    <xf numFmtId="0" fontId="51" fillId="0" borderId="29" xfId="6" applyFont="1" applyBorder="1" applyAlignment="1">
      <alignment horizontal="right" wrapText="1"/>
    </xf>
    <xf numFmtId="0" fontId="51" fillId="0" borderId="24" xfId="6" applyFont="1" applyBorder="1" applyAlignment="1">
      <alignment horizontal="center" wrapText="1"/>
    </xf>
    <xf numFmtId="3" fontId="51" fillId="0" borderId="12" xfId="6" applyNumberFormat="1" applyFont="1" applyBorder="1" applyAlignment="1">
      <alignment wrapText="1"/>
    </xf>
    <xf numFmtId="3" fontId="132" fillId="22" borderId="0" xfId="0" applyNumberFormat="1" applyFont="1" applyFill="1"/>
    <xf numFmtId="3" fontId="51" fillId="4" borderId="12" xfId="6" applyNumberFormat="1" applyFont="1" applyFill="1" applyBorder="1"/>
    <xf numFmtId="3" fontId="37" fillId="27" borderId="53" xfId="7" applyNumberFormat="1" applyFont="1" applyFill="1" applyBorder="1"/>
    <xf numFmtId="3" fontId="37" fillId="22" borderId="0" xfId="7" applyNumberFormat="1" applyFont="1" applyFill="1"/>
    <xf numFmtId="3" fontId="37" fillId="0" borderId="60" xfId="0" applyNumberFormat="1" applyFont="1" applyBorder="1" applyAlignment="1">
      <alignment wrapText="1"/>
    </xf>
    <xf numFmtId="3" fontId="37" fillId="0" borderId="7" xfId="0" applyNumberFormat="1" applyFont="1" applyBorder="1" applyAlignment="1">
      <alignment wrapText="1"/>
    </xf>
    <xf numFmtId="3" fontId="37" fillId="0" borderId="8" xfId="0" applyNumberFormat="1" applyFont="1" applyBorder="1" applyAlignment="1">
      <alignment wrapText="1"/>
    </xf>
    <xf numFmtId="3" fontId="37" fillId="0" borderId="43" xfId="0" applyNumberFormat="1" applyFont="1" applyBorder="1" applyAlignment="1">
      <alignment wrapText="1"/>
    </xf>
    <xf numFmtId="0" fontId="0" fillId="0" borderId="74" xfId="0" applyBorder="1"/>
    <xf numFmtId="168" fontId="0" fillId="0" borderId="74" xfId="0" applyNumberFormat="1" applyBorder="1" applyAlignment="1">
      <alignment horizontal="right"/>
    </xf>
    <xf numFmtId="174" fontId="0" fillId="0" borderId="75" xfId="0" applyNumberFormat="1" applyBorder="1" applyAlignment="1">
      <alignment horizontal="right"/>
    </xf>
    <xf numFmtId="0" fontId="0" fillId="0" borderId="70" xfId="0" applyBorder="1"/>
    <xf numFmtId="0" fontId="0" fillId="0" borderId="62" xfId="0" applyBorder="1"/>
    <xf numFmtId="174" fontId="0" fillId="0" borderId="62" xfId="0" applyNumberFormat="1" applyBorder="1" applyAlignment="1">
      <alignment horizontal="right"/>
    </xf>
    <xf numFmtId="174" fontId="0" fillId="0" borderId="21" xfId="0" applyNumberFormat="1" applyBorder="1" applyAlignment="1">
      <alignment horizontal="right"/>
    </xf>
    <xf numFmtId="174" fontId="0" fillId="0" borderId="57" xfId="0" applyNumberFormat="1" applyBorder="1" applyAlignment="1">
      <alignment horizontal="right"/>
    </xf>
    <xf numFmtId="0" fontId="0" fillId="5" borderId="47" xfId="0" applyFill="1" applyBorder="1"/>
    <xf numFmtId="174" fontId="0" fillId="5" borderId="47" xfId="0" applyNumberFormat="1" applyFill="1" applyBorder="1" applyAlignment="1">
      <alignment horizontal="right"/>
    </xf>
    <xf numFmtId="174" fontId="0" fillId="5" borderId="42" xfId="0" applyNumberFormat="1" applyFill="1" applyBorder="1" applyAlignment="1">
      <alignment horizontal="right"/>
    </xf>
    <xf numFmtId="3" fontId="129" fillId="8" borderId="11" xfId="0" applyNumberFormat="1" applyFont="1" applyFill="1" applyBorder="1"/>
    <xf numFmtId="3" fontId="133" fillId="8" borderId="11" xfId="0" applyNumberFormat="1" applyFont="1" applyFill="1" applyBorder="1" applyAlignment="1">
      <alignment vertical="center"/>
    </xf>
    <xf numFmtId="0" fontId="1" fillId="0" borderId="0" xfId="23"/>
    <xf numFmtId="4" fontId="1" fillId="0" borderId="0" xfId="23" applyNumberFormat="1"/>
    <xf numFmtId="0" fontId="1" fillId="0" borderId="0" xfId="23" applyAlignment="1">
      <alignment horizontal="center"/>
    </xf>
    <xf numFmtId="1" fontId="1" fillId="0" borderId="0" xfId="23" applyNumberFormat="1"/>
    <xf numFmtId="3" fontId="41" fillId="0" borderId="42" xfId="10" applyNumberFormat="1" applyFont="1" applyBorder="1" applyAlignment="1">
      <alignment horizontal="center" vertical="center"/>
    </xf>
    <xf numFmtId="3" fontId="96" fillId="5" borderId="42" xfId="10" applyNumberFormat="1" applyFont="1" applyFill="1" applyBorder="1" applyAlignment="1">
      <alignment horizontal="center" vertical="center"/>
    </xf>
    <xf numFmtId="3" fontId="33" fillId="0" borderId="42" xfId="10" applyNumberFormat="1" applyFont="1" applyBorder="1" applyAlignment="1">
      <alignment horizontal="center" vertical="center"/>
    </xf>
    <xf numFmtId="3" fontId="96" fillId="0" borderId="42" xfId="10" applyNumberFormat="1" applyFont="1" applyBorder="1" applyAlignment="1">
      <alignment horizontal="center" vertical="center"/>
    </xf>
    <xf numFmtId="3" fontId="41" fillId="0" borderId="13" xfId="10" applyNumberFormat="1" applyFont="1" applyBorder="1" applyAlignment="1">
      <alignment horizontal="center" vertical="center"/>
    </xf>
    <xf numFmtId="3" fontId="41" fillId="0" borderId="25" xfId="10" applyNumberFormat="1" applyFont="1" applyBorder="1" applyAlignment="1">
      <alignment horizontal="center" vertical="center"/>
    </xf>
    <xf numFmtId="3" fontId="96" fillId="5" borderId="25" xfId="10" applyNumberFormat="1" applyFont="1" applyFill="1" applyBorder="1" applyAlignment="1">
      <alignment horizontal="center" vertical="center"/>
    </xf>
    <xf numFmtId="3" fontId="33" fillId="0" borderId="25" xfId="10" applyNumberFormat="1" applyFont="1" applyBorder="1" applyAlignment="1">
      <alignment horizontal="center" vertical="center"/>
    </xf>
    <xf numFmtId="3" fontId="96" fillId="0" borderId="25" xfId="10" applyNumberFormat="1" applyFont="1" applyBorder="1" applyAlignment="1">
      <alignment horizontal="center" vertical="center"/>
    </xf>
    <xf numFmtId="3" fontId="41" fillId="0" borderId="20" xfId="10" applyNumberFormat="1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3" fontId="10" fillId="0" borderId="0" xfId="0" applyNumberFormat="1" applyFont="1" applyAlignment="1">
      <alignment horizontal="right"/>
    </xf>
    <xf numFmtId="0" fontId="156" fillId="0" borderId="0" xfId="0" applyFont="1"/>
    <xf numFmtId="0" fontId="22" fillId="0" borderId="0" xfId="0" applyFont="1" applyAlignment="1">
      <alignment horizontal="right"/>
    </xf>
    <xf numFmtId="0" fontId="156" fillId="0" borderId="0" xfId="0" applyFont="1" applyAlignment="1">
      <alignment horizontal="right"/>
    </xf>
    <xf numFmtId="0" fontId="157" fillId="0" borderId="0" xfId="0" applyFont="1"/>
    <xf numFmtId="0" fontId="157" fillId="0" borderId="0" xfId="0" applyFont="1" applyAlignment="1">
      <alignment horizontal="right"/>
    </xf>
    <xf numFmtId="0" fontId="158" fillId="0" borderId="0" xfId="0" applyFont="1"/>
    <xf numFmtId="0" fontId="159" fillId="0" borderId="0" xfId="0" applyFont="1"/>
    <xf numFmtId="0" fontId="142" fillId="0" borderId="0" xfId="0" applyFont="1" applyAlignment="1">
      <alignment horizontal="right"/>
    </xf>
    <xf numFmtId="0" fontId="159" fillId="0" borderId="0" xfId="0" applyFont="1" applyAlignment="1">
      <alignment horizontal="right"/>
    </xf>
    <xf numFmtId="3" fontId="129" fillId="7" borderId="11" xfId="0" applyNumberFormat="1" applyFont="1" applyFill="1" applyBorder="1"/>
    <xf numFmtId="0" fontId="134" fillId="3" borderId="25" xfId="0" applyFont="1" applyFill="1" applyBorder="1" applyAlignment="1">
      <alignment wrapText="1"/>
    </xf>
    <xf numFmtId="0" fontId="134" fillId="3" borderId="62" xfId="0" applyFont="1" applyFill="1" applyBorder="1" applyAlignment="1">
      <alignment wrapText="1"/>
    </xf>
    <xf numFmtId="3" fontId="97" fillId="0" borderId="14" xfId="0" applyNumberFormat="1" applyFont="1" applyBorder="1"/>
    <xf numFmtId="3" fontId="98" fillId="0" borderId="14" xfId="0" applyNumberFormat="1" applyFont="1" applyBorder="1"/>
    <xf numFmtId="3" fontId="98" fillId="0" borderId="70" xfId="0" applyNumberFormat="1" applyFont="1" applyBorder="1"/>
    <xf numFmtId="3" fontId="97" fillId="6" borderId="58" xfId="0" applyNumberFormat="1" applyFont="1" applyFill="1" applyBorder="1"/>
    <xf numFmtId="3" fontId="97" fillId="0" borderId="21" xfId="0" applyNumberFormat="1" applyFont="1" applyBorder="1"/>
    <xf numFmtId="0" fontId="134" fillId="3" borderId="14" xfId="0" applyFont="1" applyFill="1" applyBorder="1" applyAlignment="1">
      <alignment horizontal="center"/>
    </xf>
    <xf numFmtId="0" fontId="134" fillId="3" borderId="74" xfId="0" applyFont="1" applyFill="1" applyBorder="1" applyAlignment="1">
      <alignment horizontal="center"/>
    </xf>
    <xf numFmtId="0" fontId="134" fillId="3" borderId="66" xfId="0" applyFont="1" applyFill="1" applyBorder="1" applyAlignment="1">
      <alignment wrapText="1"/>
    </xf>
    <xf numFmtId="3" fontId="134" fillId="4" borderId="43" xfId="0" applyNumberFormat="1" applyFont="1" applyFill="1" applyBorder="1"/>
    <xf numFmtId="0" fontId="129" fillId="5" borderId="19" xfId="0" applyFont="1" applyFill="1" applyBorder="1" applyAlignment="1">
      <alignment horizontal="center"/>
    </xf>
    <xf numFmtId="3" fontId="33" fillId="0" borderId="16" xfId="7" applyNumberFormat="1" applyFont="1" applyBorder="1" applyAlignment="1">
      <alignment horizontal="center"/>
    </xf>
    <xf numFmtId="3" fontId="33" fillId="0" borderId="10" xfId="7" applyNumberFormat="1" applyFont="1" applyBorder="1" applyAlignment="1">
      <alignment horizontal="center"/>
    </xf>
    <xf numFmtId="3" fontId="33" fillId="27" borderId="53" xfId="7" applyNumberFormat="1" applyFont="1" applyFill="1" applyBorder="1" applyAlignment="1">
      <alignment horizontal="center"/>
    </xf>
    <xf numFmtId="3" fontId="33" fillId="0" borderId="34" xfId="7" applyNumberFormat="1" applyFont="1" applyBorder="1" applyAlignment="1">
      <alignment horizontal="center"/>
    </xf>
    <xf numFmtId="3" fontId="33" fillId="0" borderId="10" xfId="7" applyNumberFormat="1" applyFont="1" applyBorder="1" applyAlignment="1">
      <alignment horizontal="center" vertical="center"/>
    </xf>
    <xf numFmtId="3" fontId="33" fillId="0" borderId="10" xfId="0" applyNumberFormat="1" applyFont="1" applyBorder="1" applyAlignment="1">
      <alignment horizontal="center" wrapText="1"/>
    </xf>
    <xf numFmtId="3" fontId="33" fillId="0" borderId="11" xfId="0" applyNumberFormat="1" applyFont="1" applyBorder="1" applyAlignment="1">
      <alignment horizontal="center" wrapText="1"/>
    </xf>
    <xf numFmtId="3" fontId="33" fillId="0" borderId="53" xfId="0" applyNumberFormat="1" applyFont="1" applyBorder="1" applyAlignment="1">
      <alignment horizontal="center" wrapText="1"/>
    </xf>
    <xf numFmtId="3" fontId="33" fillId="0" borderId="34" xfId="0" applyNumberFormat="1" applyFont="1" applyBorder="1" applyAlignment="1">
      <alignment horizontal="center" wrapText="1"/>
    </xf>
    <xf numFmtId="3" fontId="33" fillId="7" borderId="11" xfId="0" applyNumberFormat="1" applyFont="1" applyFill="1" applyBorder="1" applyAlignment="1">
      <alignment horizontal="center" wrapText="1"/>
    </xf>
    <xf numFmtId="3" fontId="33" fillId="0" borderId="65" xfId="0" applyNumberFormat="1" applyFont="1" applyBorder="1" applyAlignment="1">
      <alignment horizontal="center" wrapText="1"/>
    </xf>
    <xf numFmtId="3" fontId="33" fillId="0" borderId="17" xfId="0" applyNumberFormat="1" applyFont="1" applyBorder="1" applyAlignment="1">
      <alignment horizontal="center" wrapText="1"/>
    </xf>
    <xf numFmtId="3" fontId="33" fillId="0" borderId="59" xfId="0" applyNumberFormat="1" applyFont="1" applyBorder="1" applyAlignment="1">
      <alignment horizontal="center" wrapText="1"/>
    </xf>
    <xf numFmtId="3" fontId="33" fillId="0" borderId="58" xfId="0" applyNumberFormat="1" applyFont="1" applyBorder="1" applyAlignment="1">
      <alignment horizontal="center" wrapText="1"/>
    </xf>
    <xf numFmtId="3" fontId="33" fillId="7" borderId="58" xfId="0" applyNumberFormat="1" applyFont="1" applyFill="1" applyBorder="1" applyAlignment="1">
      <alignment horizontal="center" wrapText="1"/>
    </xf>
    <xf numFmtId="3" fontId="33" fillId="0" borderId="12" xfId="0" applyNumberFormat="1" applyFont="1" applyBorder="1" applyAlignment="1">
      <alignment horizontal="center" wrapText="1"/>
    </xf>
    <xf numFmtId="3" fontId="33" fillId="7" borderId="10" xfId="0" applyNumberFormat="1" applyFont="1" applyFill="1" applyBorder="1" applyAlignment="1">
      <alignment horizontal="center" wrapText="1"/>
    </xf>
    <xf numFmtId="3" fontId="33" fillId="0" borderId="36" xfId="0" applyNumberFormat="1" applyFont="1" applyBorder="1" applyAlignment="1">
      <alignment horizontal="center" wrapText="1"/>
    </xf>
    <xf numFmtId="3" fontId="33" fillId="0" borderId="7" xfId="0" applyNumberFormat="1" applyFont="1" applyBorder="1" applyAlignment="1">
      <alignment horizontal="center" wrapText="1"/>
    </xf>
    <xf numFmtId="3" fontId="33" fillId="7" borderId="12" xfId="0" applyNumberFormat="1" applyFont="1" applyFill="1" applyBorder="1" applyAlignment="1">
      <alignment horizontal="center" wrapText="1"/>
    </xf>
    <xf numFmtId="3" fontId="33" fillId="0" borderId="8" xfId="0" applyNumberFormat="1" applyFont="1" applyBorder="1" applyAlignment="1">
      <alignment horizontal="center" wrapText="1"/>
    </xf>
    <xf numFmtId="3" fontId="33" fillId="5" borderId="53" xfId="0" applyNumberFormat="1" applyFont="1" applyFill="1" applyBorder="1" applyAlignment="1">
      <alignment horizontal="center" wrapText="1"/>
    </xf>
    <xf numFmtId="3" fontId="96" fillId="5" borderId="11" xfId="0" applyNumberFormat="1" applyFont="1" applyFill="1" applyBorder="1" applyAlignment="1">
      <alignment horizontal="center"/>
    </xf>
    <xf numFmtId="3" fontId="96" fillId="5" borderId="34" xfId="0" applyNumberFormat="1" applyFont="1" applyFill="1" applyBorder="1" applyAlignment="1">
      <alignment horizontal="center"/>
    </xf>
    <xf numFmtId="3" fontId="33" fillId="27" borderId="53" xfId="7" applyNumberFormat="1" applyFont="1" applyFill="1" applyBorder="1"/>
    <xf numFmtId="3" fontId="33" fillId="0" borderId="16" xfId="0" applyNumberFormat="1" applyFont="1" applyBorder="1" applyAlignment="1">
      <alignment horizontal="center" wrapText="1"/>
    </xf>
    <xf numFmtId="3" fontId="35" fillId="4" borderId="6" xfId="7" applyNumberFormat="1" applyFont="1" applyFill="1" applyBorder="1" applyAlignment="1">
      <alignment horizontal="center"/>
    </xf>
    <xf numFmtId="3" fontId="33" fillId="0" borderId="60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wrapText="1"/>
    </xf>
    <xf numFmtId="3" fontId="33" fillId="0" borderId="8" xfId="0" applyNumberFormat="1" applyFont="1" applyBorder="1" applyAlignment="1">
      <alignment wrapText="1"/>
    </xf>
    <xf numFmtId="3" fontId="33" fillId="0" borderId="43" xfId="0" applyNumberFormat="1" applyFont="1" applyBorder="1" applyAlignment="1">
      <alignment wrapText="1"/>
    </xf>
    <xf numFmtId="0" fontId="91" fillId="0" borderId="2" xfId="0" applyFont="1" applyBorder="1" applyAlignment="1">
      <alignment horizontal="center"/>
    </xf>
    <xf numFmtId="0" fontId="91" fillId="0" borderId="30" xfId="0" applyFont="1" applyBorder="1" applyAlignment="1">
      <alignment horizontal="center"/>
    </xf>
    <xf numFmtId="0" fontId="91" fillId="0" borderId="6" xfId="0" applyFont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30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128" fillId="3" borderId="2" xfId="0" applyFont="1" applyFill="1" applyBorder="1" applyAlignment="1">
      <alignment horizontal="left" wrapText="1"/>
    </xf>
    <xf numFmtId="0" fontId="128" fillId="3" borderId="30" xfId="0" applyFont="1" applyFill="1" applyBorder="1" applyAlignment="1">
      <alignment horizontal="left" wrapText="1"/>
    </xf>
    <xf numFmtId="0" fontId="128" fillId="3" borderId="6" xfId="0" applyFont="1" applyFill="1" applyBorder="1" applyAlignment="1">
      <alignment horizontal="left" wrapText="1"/>
    </xf>
    <xf numFmtId="3" fontId="128" fillId="2" borderId="2" xfId="5" applyNumberFormat="1" applyFont="1" applyFill="1" applyBorder="1" applyAlignment="1">
      <alignment horizontal="left" vertical="center" wrapText="1"/>
    </xf>
    <xf numFmtId="3" fontId="128" fillId="2" borderId="30" xfId="5" applyNumberFormat="1" applyFont="1" applyFill="1" applyBorder="1" applyAlignment="1">
      <alignment horizontal="left" vertical="center" wrapText="1"/>
    </xf>
    <xf numFmtId="3" fontId="128" fillId="2" borderId="6" xfId="5" applyNumberFormat="1" applyFont="1" applyFill="1" applyBorder="1" applyAlignment="1">
      <alignment horizontal="left" vertical="center" wrapText="1"/>
    </xf>
    <xf numFmtId="0" fontId="130" fillId="3" borderId="2" xfId="0" applyFont="1" applyFill="1" applyBorder="1" applyAlignment="1">
      <alignment horizontal="left" wrapText="1"/>
    </xf>
    <xf numFmtId="0" fontId="130" fillId="3" borderId="30" xfId="0" applyFont="1" applyFill="1" applyBorder="1" applyAlignment="1">
      <alignment horizontal="left" wrapText="1"/>
    </xf>
    <xf numFmtId="0" fontId="130" fillId="3" borderId="6" xfId="0" applyFont="1" applyFill="1" applyBorder="1" applyAlignment="1">
      <alignment horizontal="left" wrapText="1"/>
    </xf>
    <xf numFmtId="0" fontId="97" fillId="3" borderId="2" xfId="0" applyFont="1" applyFill="1" applyBorder="1" applyAlignment="1">
      <alignment horizontal="left" wrapText="1"/>
    </xf>
    <xf numFmtId="0" fontId="97" fillId="3" borderId="30" xfId="0" applyFont="1" applyFill="1" applyBorder="1" applyAlignment="1">
      <alignment horizontal="left" wrapText="1"/>
    </xf>
    <xf numFmtId="0" fontId="97" fillId="3" borderId="6" xfId="0" applyFont="1" applyFill="1" applyBorder="1" applyAlignment="1">
      <alignment horizontal="left" wrapText="1"/>
    </xf>
    <xf numFmtId="0" fontId="35" fillId="3" borderId="2" xfId="0" applyFont="1" applyFill="1" applyBorder="1" applyAlignment="1">
      <alignment horizontal="left" wrapText="1"/>
    </xf>
    <xf numFmtId="0" fontId="35" fillId="3" borderId="30" xfId="0" applyFont="1" applyFill="1" applyBorder="1" applyAlignment="1">
      <alignment horizontal="left" wrapText="1"/>
    </xf>
    <xf numFmtId="0" fontId="35" fillId="3" borderId="6" xfId="0" applyFont="1" applyFill="1" applyBorder="1" applyAlignment="1">
      <alignment horizontal="left" wrapText="1"/>
    </xf>
    <xf numFmtId="0" fontId="35" fillId="5" borderId="73" xfId="0" applyFont="1" applyFill="1" applyBorder="1" applyAlignment="1">
      <alignment horizontal="center" vertical="center" textRotation="180"/>
    </xf>
    <xf numFmtId="0" fontId="35" fillId="5" borderId="59" xfId="0" applyFont="1" applyFill="1" applyBorder="1" applyAlignment="1">
      <alignment horizontal="center" vertical="center" textRotation="180"/>
    </xf>
    <xf numFmtId="0" fontId="35" fillId="7" borderId="2" xfId="0" applyFont="1" applyFill="1" applyBorder="1" applyAlignment="1">
      <alignment horizontal="left" wrapText="1"/>
    </xf>
    <xf numFmtId="0" fontId="35" fillId="7" borderId="30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5" xfId="0" applyFont="1" applyFill="1" applyBorder="1" applyAlignment="1">
      <alignment horizontal="left" wrapText="1"/>
    </xf>
    <xf numFmtId="0" fontId="35" fillId="3" borderId="32" xfId="0" applyFont="1" applyFill="1" applyBorder="1" applyAlignment="1">
      <alignment horizontal="left" wrapText="1"/>
    </xf>
    <xf numFmtId="0" fontId="35" fillId="3" borderId="35" xfId="0" applyFont="1" applyFill="1" applyBorder="1" applyAlignment="1">
      <alignment horizontal="left" wrapText="1"/>
    </xf>
    <xf numFmtId="0" fontId="53" fillId="4" borderId="0" xfId="0" applyFont="1" applyFill="1" applyAlignment="1">
      <alignment vertical="center"/>
    </xf>
    <xf numFmtId="0" fontId="69" fillId="4" borderId="0" xfId="0" applyFont="1" applyFill="1" applyAlignment="1">
      <alignment horizontal="center" vertical="center"/>
    </xf>
    <xf numFmtId="3" fontId="35" fillId="6" borderId="20" xfId="0" applyNumberFormat="1" applyFont="1" applyFill="1" applyBorder="1" applyAlignment="1">
      <alignment horizontal="center"/>
    </xf>
    <xf numFmtId="3" fontId="35" fillId="6" borderId="71" xfId="0" applyNumberFormat="1" applyFont="1" applyFill="1" applyBorder="1" applyAlignment="1">
      <alignment horizontal="center"/>
    </xf>
    <xf numFmtId="3" fontId="35" fillId="4" borderId="18" xfId="0" applyNumberFormat="1" applyFont="1" applyFill="1" applyBorder="1" applyAlignment="1">
      <alignment horizontal="center"/>
    </xf>
    <xf numFmtId="3" fontId="35" fillId="4" borderId="60" xfId="0" applyNumberFormat="1" applyFont="1" applyFill="1" applyBorder="1" applyAlignment="1">
      <alignment horizontal="center"/>
    </xf>
    <xf numFmtId="3" fontId="35" fillId="6" borderId="60" xfId="0" applyNumberFormat="1" applyFont="1" applyFill="1" applyBorder="1" applyAlignment="1">
      <alignment horizontal="center"/>
    </xf>
    <xf numFmtId="0" fontId="94" fillId="10" borderId="2" xfId="5" applyFont="1" applyFill="1" applyBorder="1" applyAlignment="1">
      <alignment horizontal="left" vertical="center"/>
    </xf>
    <xf numFmtId="0" fontId="94" fillId="10" borderId="6" xfId="5" applyFont="1" applyFill="1" applyBorder="1" applyAlignment="1">
      <alignment horizontal="left" vertical="center"/>
    </xf>
    <xf numFmtId="3" fontId="98" fillId="8" borderId="2" xfId="10" applyNumberFormat="1" applyFont="1" applyFill="1" applyBorder="1" applyAlignment="1">
      <alignment horizontal="left"/>
    </xf>
    <xf numFmtId="3" fontId="98" fillId="8" borderId="6" xfId="10" applyNumberFormat="1" applyFont="1" applyFill="1" applyBorder="1" applyAlignment="1">
      <alignment horizontal="left"/>
    </xf>
    <xf numFmtId="3" fontId="97" fillId="8" borderId="65" xfId="10" applyNumberFormat="1" applyFont="1" applyFill="1" applyBorder="1" applyAlignment="1">
      <alignment horizontal="left"/>
    </xf>
    <xf numFmtId="3" fontId="97" fillId="8" borderId="68" xfId="10" applyNumberFormat="1" applyFont="1" applyFill="1" applyBorder="1" applyAlignment="1">
      <alignment horizontal="left"/>
    </xf>
    <xf numFmtId="0" fontId="99" fillId="0" borderId="4" xfId="3" applyFont="1" applyBorder="1" applyAlignment="1">
      <alignment horizontal="center" vertical="center" textRotation="90"/>
    </xf>
    <xf numFmtId="0" fontId="99" fillId="0" borderId="36" xfId="3" applyFont="1" applyBorder="1" applyAlignment="1">
      <alignment horizontal="center" vertical="center" textRotation="90"/>
    </xf>
    <xf numFmtId="0" fontId="99" fillId="0" borderId="53" xfId="3" applyFont="1" applyBorder="1" applyAlignment="1">
      <alignment horizontal="center" vertical="center" textRotation="90"/>
    </xf>
    <xf numFmtId="3" fontId="97" fillId="8" borderId="6" xfId="10" applyNumberFormat="1" applyFont="1" applyFill="1" applyBorder="1" applyAlignment="1">
      <alignment horizontal="left"/>
    </xf>
    <xf numFmtId="0" fontId="95" fillId="0" borderId="67" xfId="3" applyFont="1" applyBorder="1" applyAlignment="1">
      <alignment horizontal="center" vertical="center" textRotation="90"/>
    </xf>
    <xf numFmtId="0" fontId="95" fillId="0" borderId="39" xfId="3" applyFont="1" applyBorder="1" applyAlignment="1">
      <alignment horizontal="center" vertical="center" textRotation="90"/>
    </xf>
    <xf numFmtId="0" fontId="95" fillId="0" borderId="68" xfId="3" applyFont="1" applyBorder="1" applyAlignment="1">
      <alignment horizontal="center" vertical="center" textRotation="90"/>
    </xf>
    <xf numFmtId="0" fontId="66" fillId="2" borderId="63" xfId="5" applyFont="1" applyFill="1" applyBorder="1" applyAlignment="1">
      <alignment horizontal="center" vertical="center"/>
    </xf>
    <xf numFmtId="0" fontId="66" fillId="2" borderId="64" xfId="5" applyFont="1" applyFill="1" applyBorder="1" applyAlignment="1">
      <alignment horizontal="center" vertical="center"/>
    </xf>
    <xf numFmtId="0" fontId="66" fillId="2" borderId="67" xfId="5" applyFont="1" applyFill="1" applyBorder="1" applyAlignment="1">
      <alignment horizontal="center" vertical="center"/>
    </xf>
    <xf numFmtId="0" fontId="66" fillId="2" borderId="65" xfId="5" applyFont="1" applyFill="1" applyBorder="1" applyAlignment="1">
      <alignment horizontal="center" vertical="center"/>
    </xf>
    <xf numFmtId="0" fontId="66" fillId="2" borderId="45" xfId="5" applyFont="1" applyFill="1" applyBorder="1" applyAlignment="1">
      <alignment horizontal="center" vertical="center"/>
    </xf>
    <xf numFmtId="0" fontId="66" fillId="2" borderId="68" xfId="5" applyFont="1" applyFill="1" applyBorder="1" applyAlignment="1">
      <alignment horizontal="center" vertical="center"/>
    </xf>
    <xf numFmtId="3" fontId="94" fillId="9" borderId="2" xfId="10" applyNumberFormat="1" applyFont="1" applyFill="1" applyBorder="1" applyAlignment="1">
      <alignment horizontal="left"/>
    </xf>
    <xf numFmtId="3" fontId="94" fillId="9" borderId="64" xfId="10" applyNumberFormat="1" applyFont="1" applyFill="1" applyBorder="1" applyAlignment="1">
      <alignment horizontal="left"/>
    </xf>
    <xf numFmtId="3" fontId="94" fillId="9" borderId="67" xfId="10" applyNumberFormat="1" applyFont="1" applyFill="1" applyBorder="1" applyAlignment="1">
      <alignment horizontal="left"/>
    </xf>
    <xf numFmtId="0" fontId="95" fillId="0" borderId="63" xfId="3" applyFont="1" applyBorder="1" applyAlignment="1">
      <alignment horizontal="center" vertical="center" textRotation="90"/>
    </xf>
    <xf numFmtId="0" fontId="95" fillId="0" borderId="59" xfId="3" applyFont="1" applyBorder="1" applyAlignment="1">
      <alignment horizontal="center" vertical="center" textRotation="90"/>
    </xf>
    <xf numFmtId="0" fontId="95" fillId="0" borderId="36" xfId="3" applyFont="1" applyBorder="1" applyAlignment="1">
      <alignment horizontal="center" vertical="center" textRotation="90"/>
    </xf>
    <xf numFmtId="3" fontId="97" fillId="8" borderId="63" xfId="10" applyNumberFormat="1" applyFont="1" applyFill="1" applyBorder="1" applyAlignment="1">
      <alignment horizontal="left"/>
    </xf>
    <xf numFmtId="0" fontId="61" fillId="4" borderId="4" xfId="0" applyFont="1" applyFill="1" applyBorder="1" applyAlignment="1">
      <alignment horizontal="center" vertical="center" wrapText="1"/>
    </xf>
    <xf numFmtId="0" fontId="61" fillId="4" borderId="36" xfId="0" applyFont="1" applyFill="1" applyBorder="1" applyAlignment="1">
      <alignment horizontal="center" vertical="center" wrapText="1"/>
    </xf>
    <xf numFmtId="0" fontId="60" fillId="4" borderId="77" xfId="0" applyFont="1" applyFill="1" applyBorder="1" applyAlignment="1">
      <alignment horizontal="center" vertical="center"/>
    </xf>
    <xf numFmtId="0" fontId="60" fillId="4" borderId="41" xfId="0" applyFont="1" applyFill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/>
    </xf>
    <xf numFmtId="0" fontId="61" fillId="31" borderId="4" xfId="0" applyFont="1" applyFill="1" applyBorder="1" applyAlignment="1">
      <alignment horizontal="center" vertical="center" wrapText="1"/>
    </xf>
    <xf numFmtId="0" fontId="61" fillId="31" borderId="36" xfId="0" applyFont="1" applyFill="1" applyBorder="1" applyAlignment="1">
      <alignment horizontal="center" vertical="center" wrapText="1"/>
    </xf>
    <xf numFmtId="0" fontId="60" fillId="31" borderId="77" xfId="0" applyFont="1" applyFill="1" applyBorder="1" applyAlignment="1">
      <alignment horizontal="center" vertical="center"/>
    </xf>
    <xf numFmtId="0" fontId="60" fillId="31" borderId="41" xfId="0" applyFont="1" applyFill="1" applyBorder="1" applyAlignment="1">
      <alignment horizontal="center" vertical="center"/>
    </xf>
    <xf numFmtId="0" fontId="60" fillId="31" borderId="23" xfId="0" applyFont="1" applyFill="1" applyBorder="1" applyAlignment="1">
      <alignment horizontal="center" vertical="center"/>
    </xf>
    <xf numFmtId="3" fontId="61" fillId="31" borderId="4" xfId="0" applyNumberFormat="1" applyFont="1" applyFill="1" applyBorder="1" applyAlignment="1">
      <alignment horizontal="center" vertical="center"/>
    </xf>
    <xf numFmtId="3" fontId="61" fillId="31" borderId="36" xfId="0" applyNumberFormat="1" applyFont="1" applyFill="1" applyBorder="1" applyAlignment="1">
      <alignment horizontal="center" vertical="center"/>
    </xf>
    <xf numFmtId="3" fontId="61" fillId="31" borderId="53" xfId="0" applyNumberFormat="1" applyFont="1" applyFill="1" applyBorder="1" applyAlignment="1">
      <alignment horizontal="center" vertical="center"/>
    </xf>
    <xf numFmtId="0" fontId="60" fillId="31" borderId="29" xfId="0" applyFont="1" applyFill="1" applyBorder="1" applyAlignment="1">
      <alignment horizontal="center" vertical="center" wrapText="1"/>
    </xf>
    <xf numFmtId="0" fontId="60" fillId="31" borderId="41" xfId="0" applyFont="1" applyFill="1" applyBorder="1" applyAlignment="1">
      <alignment horizontal="center" vertical="center" wrapText="1"/>
    </xf>
    <xf numFmtId="0" fontId="61" fillId="29" borderId="36" xfId="0" applyFont="1" applyFill="1" applyBorder="1" applyAlignment="1">
      <alignment horizontal="center" vertical="center" wrapText="1"/>
    </xf>
    <xf numFmtId="0" fontId="61" fillId="29" borderId="53" xfId="0" applyFont="1" applyFill="1" applyBorder="1" applyAlignment="1">
      <alignment horizontal="center" vertical="center" wrapText="1"/>
    </xf>
    <xf numFmtId="0" fontId="64" fillId="29" borderId="57" xfId="0" applyFont="1" applyFill="1" applyBorder="1" applyAlignment="1">
      <alignment horizontal="center" vertical="center" wrapText="1"/>
    </xf>
    <xf numFmtId="0" fontId="61" fillId="7" borderId="4" xfId="0" applyFont="1" applyFill="1" applyBorder="1" applyAlignment="1">
      <alignment horizontal="center" vertical="center" wrapText="1"/>
    </xf>
    <xf numFmtId="0" fontId="61" fillId="7" borderId="36" xfId="0" applyFont="1" applyFill="1" applyBorder="1" applyAlignment="1">
      <alignment horizontal="center" vertical="center" wrapText="1"/>
    </xf>
    <xf numFmtId="0" fontId="61" fillId="7" borderId="53" xfId="0" applyFont="1" applyFill="1" applyBorder="1" applyAlignment="1">
      <alignment horizontal="center" vertical="center" wrapText="1"/>
    </xf>
    <xf numFmtId="0" fontId="64" fillId="7" borderId="77" xfId="0" applyFont="1" applyFill="1" applyBorder="1" applyAlignment="1">
      <alignment horizontal="center" vertical="center" wrapText="1"/>
    </xf>
    <xf numFmtId="0" fontId="64" fillId="7" borderId="41" xfId="0" applyFont="1" applyFill="1" applyBorder="1" applyAlignment="1">
      <alignment horizontal="center" vertical="center" wrapText="1"/>
    </xf>
    <xf numFmtId="0" fontId="64" fillId="7" borderId="23" xfId="0" applyFont="1" applyFill="1" applyBorder="1" applyAlignment="1">
      <alignment horizontal="center" vertical="center" wrapText="1"/>
    </xf>
    <xf numFmtId="0" fontId="60" fillId="7" borderId="63" xfId="0" applyFont="1" applyFill="1" applyBorder="1" applyAlignment="1">
      <alignment horizontal="center"/>
    </xf>
    <xf numFmtId="0" fontId="60" fillId="7" borderId="64" xfId="0" applyFont="1" applyFill="1" applyBorder="1" applyAlignment="1">
      <alignment horizontal="center"/>
    </xf>
    <xf numFmtId="0" fontId="60" fillId="7" borderId="67" xfId="0" applyFont="1" applyFill="1" applyBorder="1" applyAlignment="1">
      <alignment horizontal="center"/>
    </xf>
    <xf numFmtId="0" fontId="60" fillId="7" borderId="59" xfId="0" applyFont="1" applyFill="1" applyBorder="1" applyAlignment="1">
      <alignment horizontal="center"/>
    </xf>
    <xf numFmtId="0" fontId="60" fillId="7" borderId="0" xfId="0" applyFont="1" applyFill="1" applyAlignment="1">
      <alignment horizontal="center"/>
    </xf>
    <xf numFmtId="0" fontId="60" fillId="7" borderId="39" xfId="0" applyFont="1" applyFill="1" applyBorder="1" applyAlignment="1">
      <alignment horizontal="center"/>
    </xf>
    <xf numFmtId="0" fontId="60" fillId="7" borderId="65" xfId="0" applyFont="1" applyFill="1" applyBorder="1" applyAlignment="1">
      <alignment horizontal="center"/>
    </xf>
    <xf numFmtId="0" fontId="60" fillId="7" borderId="45" xfId="0" applyFont="1" applyFill="1" applyBorder="1" applyAlignment="1">
      <alignment horizontal="center"/>
    </xf>
    <xf numFmtId="0" fontId="60" fillId="7" borderId="68" xfId="0" applyFont="1" applyFill="1" applyBorder="1" applyAlignment="1">
      <alignment horizontal="center"/>
    </xf>
    <xf numFmtId="0" fontId="64" fillId="7" borderId="29" xfId="0" applyFont="1" applyFill="1" applyBorder="1" applyAlignment="1">
      <alignment horizontal="center" vertical="center" wrapText="1"/>
    </xf>
    <xf numFmtId="0" fontId="64" fillId="7" borderId="54" xfId="0" applyFont="1" applyFill="1" applyBorder="1" applyAlignment="1">
      <alignment horizontal="center" vertical="center" wrapText="1"/>
    </xf>
    <xf numFmtId="0" fontId="61" fillId="28" borderId="4" xfId="0" applyFont="1" applyFill="1" applyBorder="1" applyAlignment="1">
      <alignment horizontal="center" vertical="center" wrapText="1"/>
    </xf>
    <xf numFmtId="0" fontId="61" fillId="28" borderId="36" xfId="0" applyFont="1" applyFill="1" applyBorder="1" applyAlignment="1">
      <alignment horizontal="center" vertical="center" wrapText="1"/>
    </xf>
    <xf numFmtId="0" fontId="61" fillId="28" borderId="53" xfId="0" applyFont="1" applyFill="1" applyBorder="1" applyAlignment="1">
      <alignment horizontal="center" vertical="center" wrapText="1"/>
    </xf>
    <xf numFmtId="0" fontId="64" fillId="28" borderId="77" xfId="0" applyFont="1" applyFill="1" applyBorder="1" applyAlignment="1">
      <alignment horizontal="center" vertical="center" wrapText="1"/>
    </xf>
    <xf numFmtId="0" fontId="64" fillId="28" borderId="41" xfId="0" applyFont="1" applyFill="1" applyBorder="1" applyAlignment="1">
      <alignment horizontal="center" vertical="center" wrapText="1"/>
    </xf>
    <xf numFmtId="0" fontId="64" fillId="28" borderId="23" xfId="0" applyFont="1" applyFill="1" applyBorder="1" applyAlignment="1">
      <alignment horizontal="center" vertical="center" wrapText="1"/>
    </xf>
    <xf numFmtId="0" fontId="60" fillId="18" borderId="64" xfId="0" applyFont="1" applyFill="1" applyBorder="1" applyAlignment="1">
      <alignment horizontal="center" vertical="center"/>
    </xf>
    <xf numFmtId="0" fontId="60" fillId="18" borderId="67" xfId="0" applyFont="1" applyFill="1" applyBorder="1" applyAlignment="1">
      <alignment horizontal="center" vertical="center"/>
    </xf>
    <xf numFmtId="0" fontId="60" fillId="18" borderId="0" xfId="0" applyFont="1" applyFill="1" applyAlignment="1">
      <alignment horizontal="center" vertical="center"/>
    </xf>
    <xf numFmtId="0" fontId="60" fillId="18" borderId="39" xfId="0" applyFont="1" applyFill="1" applyBorder="1" applyAlignment="1">
      <alignment horizontal="center" vertical="center"/>
    </xf>
    <xf numFmtId="0" fontId="64" fillId="28" borderId="29" xfId="0" applyFont="1" applyFill="1" applyBorder="1" applyAlignment="1">
      <alignment horizontal="center" vertical="center" wrapText="1"/>
    </xf>
    <xf numFmtId="0" fontId="60" fillId="33" borderId="29" xfId="0" applyFont="1" applyFill="1" applyBorder="1" applyAlignment="1">
      <alignment horizontal="center" vertical="center" wrapText="1" shrinkToFit="1"/>
    </xf>
    <xf numFmtId="0" fontId="60" fillId="33" borderId="41" xfId="0" applyFont="1" applyFill="1" applyBorder="1" applyAlignment="1">
      <alignment horizontal="center" vertical="center" wrapText="1" shrinkToFit="1"/>
    </xf>
    <xf numFmtId="0" fontId="60" fillId="33" borderId="54" xfId="0" applyFont="1" applyFill="1" applyBorder="1" applyAlignment="1">
      <alignment horizontal="center" vertical="center" wrapText="1" shrinkToFit="1"/>
    </xf>
    <xf numFmtId="0" fontId="60" fillId="28" borderId="77" xfId="0" applyFont="1" applyFill="1" applyBorder="1" applyAlignment="1">
      <alignment horizontal="justify" vertical="center"/>
    </xf>
    <xf numFmtId="0" fontId="60" fillId="28" borderId="41" xfId="0" applyFont="1" applyFill="1" applyBorder="1" applyAlignment="1">
      <alignment horizontal="justify" vertical="center"/>
    </xf>
    <xf numFmtId="0" fontId="60" fillId="28" borderId="54" xfId="0" applyFont="1" applyFill="1" applyBorder="1" applyAlignment="1">
      <alignment horizontal="justify" vertical="center"/>
    </xf>
    <xf numFmtId="0" fontId="61" fillId="32" borderId="4" xfId="0" applyFont="1" applyFill="1" applyBorder="1" applyAlignment="1">
      <alignment horizontal="center" vertical="center" wrapText="1"/>
    </xf>
    <xf numFmtId="0" fontId="61" fillId="32" borderId="36" xfId="0" applyFont="1" applyFill="1" applyBorder="1" applyAlignment="1">
      <alignment horizontal="center" vertical="center" wrapText="1"/>
    </xf>
    <xf numFmtId="0" fontId="61" fillId="32" borderId="53" xfId="0" applyFont="1" applyFill="1" applyBorder="1" applyAlignment="1">
      <alignment horizontal="center" vertical="center" wrapText="1"/>
    </xf>
    <xf numFmtId="0" fontId="60" fillId="11" borderId="77" xfId="0" applyFont="1" applyFill="1" applyBorder="1" applyAlignment="1">
      <alignment horizontal="justify" vertical="center"/>
    </xf>
    <xf numFmtId="0" fontId="60" fillId="11" borderId="41" xfId="0" applyFont="1" applyFill="1" applyBorder="1" applyAlignment="1">
      <alignment horizontal="justify" vertical="center"/>
    </xf>
    <xf numFmtId="0" fontId="60" fillId="11" borderId="54" xfId="0" applyFont="1" applyFill="1" applyBorder="1" applyAlignment="1">
      <alignment horizontal="justify" vertical="center"/>
    </xf>
    <xf numFmtId="0" fontId="61" fillId="31" borderId="53" xfId="0" applyFont="1" applyFill="1" applyBorder="1" applyAlignment="1">
      <alignment horizontal="center" vertical="center" wrapText="1"/>
    </xf>
    <xf numFmtId="0" fontId="60" fillId="31" borderId="77" xfId="0" applyFont="1" applyFill="1" applyBorder="1" applyAlignment="1">
      <alignment horizontal="justify" vertical="center"/>
    </xf>
    <xf numFmtId="0" fontId="60" fillId="31" borderId="41" xfId="0" applyFont="1" applyFill="1" applyBorder="1" applyAlignment="1">
      <alignment horizontal="justify" vertical="center"/>
    </xf>
    <xf numFmtId="0" fontId="60" fillId="31" borderId="54" xfId="0" applyFont="1" applyFill="1" applyBorder="1" applyAlignment="1">
      <alignment horizontal="justify" vertical="center"/>
    </xf>
    <xf numFmtId="0" fontId="35" fillId="27" borderId="2" xfId="7" applyFont="1" applyFill="1" applyBorder="1" applyAlignment="1">
      <alignment horizontal="left"/>
    </xf>
    <xf numFmtId="0" fontId="35" fillId="27" borderId="6" xfId="7" applyFont="1" applyFill="1" applyBorder="1" applyAlignment="1">
      <alignment horizontal="left"/>
    </xf>
    <xf numFmtId="0" fontId="35" fillId="8" borderId="49" xfId="6" applyFont="1" applyFill="1" applyBorder="1" applyAlignment="1">
      <alignment horizontal="center" wrapText="1"/>
    </xf>
    <xf numFmtId="0" fontId="35" fillId="8" borderId="48" xfId="6" applyFont="1" applyFill="1" applyBorder="1" applyAlignment="1">
      <alignment horizontal="center" wrapText="1"/>
    </xf>
    <xf numFmtId="0" fontId="32" fillId="0" borderId="0" xfId="6" applyFont="1" applyAlignment="1">
      <alignment horizontal="left"/>
    </xf>
    <xf numFmtId="0" fontId="43" fillId="0" borderId="0" xfId="6" applyFont="1" applyAlignment="1">
      <alignment horizontal="left"/>
    </xf>
    <xf numFmtId="0" fontId="32" fillId="0" borderId="2" xfId="0" applyFont="1" applyBorder="1" applyAlignment="1">
      <alignment horizontal="left" wrapText="1"/>
    </xf>
    <xf numFmtId="0" fontId="32" fillId="0" borderId="30" xfId="0" applyFont="1" applyBorder="1" applyAlignment="1">
      <alignment horizontal="left" wrapText="1"/>
    </xf>
    <xf numFmtId="0" fontId="32" fillId="5" borderId="2" xfId="0" applyFont="1" applyFill="1" applyBorder="1" applyAlignment="1">
      <alignment horizontal="left" wrapText="1"/>
    </xf>
    <xf numFmtId="0" fontId="32" fillId="5" borderId="30" xfId="0" applyFont="1" applyFill="1" applyBorder="1" applyAlignment="1">
      <alignment horizontal="left" wrapText="1"/>
    </xf>
    <xf numFmtId="0" fontId="35" fillId="0" borderId="49" xfId="6" applyFont="1" applyBorder="1" applyAlignment="1">
      <alignment horizontal="left" wrapText="1"/>
    </xf>
    <xf numFmtId="0" fontId="35" fillId="0" borderId="48" xfId="6" applyFont="1" applyBorder="1" applyAlignment="1">
      <alignment horizontal="left" wrapText="1"/>
    </xf>
    <xf numFmtId="0" fontId="32" fillId="5" borderId="22" xfId="0" applyFont="1" applyFill="1" applyBorder="1" applyAlignment="1">
      <alignment horizontal="left" wrapText="1"/>
    </xf>
    <xf numFmtId="0" fontId="35" fillId="8" borderId="49" xfId="6" applyFont="1" applyFill="1" applyBorder="1" applyAlignment="1">
      <alignment horizontal="left" wrapText="1"/>
    </xf>
    <xf numFmtId="0" fontId="35" fillId="8" borderId="48" xfId="6" applyFont="1" applyFill="1" applyBorder="1" applyAlignment="1">
      <alignment horizontal="left" wrapText="1"/>
    </xf>
    <xf numFmtId="0" fontId="128" fillId="5" borderId="2" xfId="0" applyFont="1" applyFill="1" applyBorder="1" applyAlignment="1">
      <alignment horizontal="left" wrapText="1"/>
    </xf>
    <xf numFmtId="0" fontId="128" fillId="5" borderId="30" xfId="0" applyFont="1" applyFill="1" applyBorder="1" applyAlignment="1">
      <alignment horizontal="left" wrapText="1"/>
    </xf>
    <xf numFmtId="0" fontId="128" fillId="5" borderId="22" xfId="0" applyFont="1" applyFill="1" applyBorder="1" applyAlignment="1">
      <alignment horizontal="left" wrapText="1"/>
    </xf>
    <xf numFmtId="0" fontId="128" fillId="8" borderId="49" xfId="6" applyFont="1" applyFill="1" applyBorder="1" applyAlignment="1">
      <alignment horizontal="center" wrapText="1"/>
    </xf>
    <xf numFmtId="0" fontId="128" fillId="8" borderId="48" xfId="6" applyFont="1" applyFill="1" applyBorder="1" applyAlignment="1">
      <alignment horizontal="center" wrapText="1"/>
    </xf>
    <xf numFmtId="0" fontId="128" fillId="34" borderId="49" xfId="6" applyFont="1" applyFill="1" applyBorder="1" applyAlignment="1">
      <alignment horizontal="center" wrapText="1"/>
    </xf>
    <xf numFmtId="0" fontId="128" fillId="34" borderId="48" xfId="6" applyFont="1" applyFill="1" applyBorder="1" applyAlignment="1">
      <alignment horizontal="center" wrapText="1"/>
    </xf>
    <xf numFmtId="0" fontId="128" fillId="34" borderId="32" xfId="6" applyFont="1" applyFill="1" applyBorder="1" applyAlignment="1">
      <alignment horizontal="left" wrapText="1"/>
    </xf>
    <xf numFmtId="0" fontId="128" fillId="34" borderId="48" xfId="6" applyFont="1" applyFill="1" applyBorder="1" applyAlignment="1">
      <alignment horizontal="left" wrapText="1"/>
    </xf>
    <xf numFmtId="0" fontId="32" fillId="0" borderId="22" xfId="0" applyFont="1" applyBorder="1" applyAlignment="1">
      <alignment horizontal="left" wrapText="1"/>
    </xf>
    <xf numFmtId="0" fontId="16" fillId="0" borderId="0" xfId="0" applyFont="1" applyAlignment="1">
      <alignment horizontal="center"/>
    </xf>
    <xf numFmtId="0" fontId="12" fillId="0" borderId="74" xfId="0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54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4" fillId="39" borderId="76" xfId="20" applyFont="1" applyAlignment="1">
      <alignment horizontal="center"/>
    </xf>
    <xf numFmtId="0" fontId="155" fillId="39" borderId="99" xfId="19" applyFont="1" applyBorder="1" applyAlignment="1">
      <alignment horizontal="center"/>
    </xf>
    <xf numFmtId="0" fontId="155" fillId="39" borderId="100" xfId="19" applyFont="1" applyBorder="1" applyAlignment="1">
      <alignment horizontal="center"/>
    </xf>
  </cellXfs>
  <cellStyles count="24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 7" xfId="23" xr:uid="{213F192C-F495-4BC8-B5E9-0D5965655E2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199085900</c:v>
                </c:pt>
                <c:pt idx="1">
                  <c:v>32560500</c:v>
                </c:pt>
                <c:pt idx="2">
                  <c:v>204478</c:v>
                </c:pt>
                <c:pt idx="3">
                  <c:v>37081936</c:v>
                </c:pt>
                <c:pt idx="4">
                  <c:v>48341104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193288144.016444</c:v>
                </c:pt>
                <c:pt idx="1">
                  <c:v>105644080</c:v>
                </c:pt>
                <c:pt idx="2">
                  <c:v>18341693.983556002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7\Rozpo&#269;et%202025%20-%20podklady%20OSPR.xlsx" TargetMode="External"/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7\Rozpo&#269;et%202025%20-%20podklady%20OSM.xlsx" TargetMode="External"/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7\Rozpo&#269;et%202025%20-%20podklady%20OID.xlsx" TargetMode="External"/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7\Rozpo&#269;et%202025%20-%20podklady%20O&#381;P&#218;R.xlsx" TargetMode="External"/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Rozpo&#269;et%20m&#283;sta%20rok%202025%20Nesahat/Rozpo&#269;et%202025%20-%20podklady%20O&#381;P&#218;R.xlsx" TargetMode="External"/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7\Rozpo&#269;et%202025%20-%20podklady%20OE.xlsx" TargetMode="External"/><Relationship Id="rId1" Type="http://schemas.openxmlformats.org/officeDocument/2006/relationships/externalLinkPath" Target="Rozpo&#269;et%202025%20-%20podklady%20OE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Rozpo&#269;et%20m&#283;sta%20rok%202022/Rozpo&#269;et%20m&#283;sta%20rok%202022%20RO%20&#268;.5/Rozpo&#269;et%20m&#283;sta%20rok%202022%20RO%20&#268;.5.xlsx" TargetMode="External"/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7950000</v>
          </cell>
          <cell r="C3"/>
          <cell r="D3">
            <v>600000</v>
          </cell>
          <cell r="E3"/>
          <cell r="F3"/>
          <cell r="G3"/>
          <cell r="H3">
            <v>2137500</v>
          </cell>
          <cell r="I3">
            <v>769500</v>
          </cell>
          <cell r="J3">
            <v>0</v>
          </cell>
        </row>
        <row r="4">
          <cell r="B4">
            <v>5700000</v>
          </cell>
          <cell r="C4"/>
          <cell r="D4">
            <v>72000</v>
          </cell>
          <cell r="E4"/>
          <cell r="F4"/>
          <cell r="G4"/>
          <cell r="H4">
            <v>1443000</v>
          </cell>
          <cell r="I4">
            <v>519480</v>
          </cell>
          <cell r="J4">
            <v>0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45000</v>
          </cell>
          <cell r="H5">
            <v>30000</v>
          </cell>
          <cell r="I5">
            <v>10800</v>
          </cell>
          <cell r="J5">
            <v>0</v>
          </cell>
        </row>
        <row r="6">
          <cell r="B6">
            <v>1950000</v>
          </cell>
          <cell r="C6"/>
          <cell r="D6"/>
          <cell r="E6"/>
          <cell r="F6"/>
          <cell r="G6"/>
          <cell r="H6">
            <v>473000</v>
          </cell>
          <cell r="I6">
            <v>172000</v>
          </cell>
          <cell r="J6">
            <v>0</v>
          </cell>
        </row>
        <row r="7">
          <cell r="B7">
            <v>0</v>
          </cell>
          <cell r="C7"/>
          <cell r="D7">
            <v>12500</v>
          </cell>
          <cell r="E7"/>
          <cell r="F7"/>
          <cell r="G7"/>
          <cell r="H7">
            <v>3100</v>
          </cell>
          <cell r="I7">
            <v>1125</v>
          </cell>
          <cell r="J7">
            <v>0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380000</v>
          </cell>
          <cell r="I8">
            <v>138000</v>
          </cell>
          <cell r="J8">
            <v>0</v>
          </cell>
        </row>
        <row r="9">
          <cell r="B9">
            <v>0</v>
          </cell>
          <cell r="C9"/>
          <cell r="D9">
            <v>255000</v>
          </cell>
          <cell r="E9"/>
          <cell r="F9"/>
          <cell r="G9"/>
          <cell r="H9">
            <v>7000</v>
          </cell>
          <cell r="I9">
            <v>3000</v>
          </cell>
          <cell r="J9">
            <v>0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4710</v>
          </cell>
          <cell r="J10">
            <v>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0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0</v>
          </cell>
        </row>
        <row r="15">
          <cell r="B15">
            <v>0</v>
          </cell>
          <cell r="C15"/>
          <cell r="D15"/>
          <cell r="E15"/>
          <cell r="F15"/>
          <cell r="G15"/>
          <cell r="H15">
            <v>0</v>
          </cell>
          <cell r="I15">
            <v>0</v>
          </cell>
          <cell r="J15">
            <v>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0</v>
          </cell>
        </row>
        <row r="18">
          <cell r="B18">
            <v>0</v>
          </cell>
          <cell r="C18"/>
          <cell r="D18">
            <v>144478</v>
          </cell>
          <cell r="E18"/>
          <cell r="F18"/>
          <cell r="G18">
            <v>1211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0</v>
          </cell>
        </row>
        <row r="20">
          <cell r="J20">
            <v>156771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3313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/>
        </row>
        <row r="17">
          <cell r="B17">
            <v>52000</v>
          </cell>
        </row>
        <row r="18">
          <cell r="B18">
            <v>52000</v>
          </cell>
        </row>
        <row r="19">
          <cell r="B19">
            <v>0</v>
          </cell>
        </row>
        <row r="24">
          <cell r="B24">
            <v>2000</v>
          </cell>
        </row>
        <row r="31">
          <cell r="B31">
            <v>50000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4">
          <cell r="B44">
            <v>12000</v>
          </cell>
        </row>
        <row r="51">
          <cell r="B51">
            <v>110000</v>
          </cell>
        </row>
        <row r="52">
          <cell r="B52">
            <v>0</v>
          </cell>
        </row>
        <row r="53">
          <cell r="B53">
            <v>110000</v>
          </cell>
        </row>
        <row r="58">
          <cell r="B58">
            <v>10000</v>
          </cell>
        </row>
        <row r="65">
          <cell r="B65">
            <v>120000</v>
          </cell>
        </row>
        <row r="80">
          <cell r="B80">
            <v>145000</v>
          </cell>
        </row>
        <row r="88">
          <cell r="B88">
            <v>475000</v>
          </cell>
        </row>
      </sheetData>
      <sheetData sheetId="1"/>
      <sheetData sheetId="2">
        <row r="4">
          <cell r="D4">
            <v>15000</v>
          </cell>
          <cell r="E4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32000</v>
          </cell>
        </row>
        <row r="13">
          <cell r="B13">
            <v>118000</v>
          </cell>
        </row>
        <row r="18">
          <cell r="D18">
            <v>670000</v>
          </cell>
          <cell r="E18">
            <v>70000</v>
          </cell>
        </row>
        <row r="19">
          <cell r="B19">
            <v>740000</v>
          </cell>
        </row>
        <row r="20">
          <cell r="B20">
            <v>0</v>
          </cell>
        </row>
        <row r="25">
          <cell r="D25">
            <v>56000</v>
          </cell>
          <cell r="E25">
            <v>0</v>
          </cell>
        </row>
        <row r="32">
          <cell r="D32">
            <v>582000</v>
          </cell>
          <cell r="E32">
            <v>0</v>
          </cell>
        </row>
        <row r="39">
          <cell r="D39">
            <v>560000</v>
          </cell>
          <cell r="E39">
            <v>0</v>
          </cell>
        </row>
        <row r="46">
          <cell r="D46">
            <v>640000</v>
          </cell>
          <cell r="E46">
            <v>0</v>
          </cell>
        </row>
        <row r="53">
          <cell r="D53">
            <v>94000</v>
          </cell>
          <cell r="E53">
            <v>0</v>
          </cell>
        </row>
        <row r="60">
          <cell r="D60">
            <v>2300000</v>
          </cell>
          <cell r="E60">
            <v>0</v>
          </cell>
        </row>
        <row r="61">
          <cell r="B61">
            <v>1440000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165000</v>
          </cell>
          <cell r="E68">
            <v>0</v>
          </cell>
        </row>
        <row r="69">
          <cell r="B69">
            <v>135000</v>
          </cell>
        </row>
        <row r="70">
          <cell r="B70">
            <v>30000</v>
          </cell>
        </row>
        <row r="75">
          <cell r="D75">
            <v>2920000</v>
          </cell>
          <cell r="E75">
            <v>0</v>
          </cell>
        </row>
        <row r="76">
          <cell r="B76">
            <v>2620000</v>
          </cell>
        </row>
        <row r="77">
          <cell r="B77">
            <v>300000</v>
          </cell>
        </row>
        <row r="82">
          <cell r="B82">
            <v>9000</v>
          </cell>
        </row>
        <row r="89">
          <cell r="B89">
            <v>86000</v>
          </cell>
        </row>
        <row r="103">
          <cell r="B103">
            <v>95000</v>
          </cell>
        </row>
        <row r="110">
          <cell r="B110">
            <v>0</v>
          </cell>
        </row>
        <row r="117">
          <cell r="B117">
            <v>67000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5">
          <cell r="B145">
            <v>4300000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4010000</v>
          </cell>
        </row>
        <row r="153">
          <cell r="B153">
            <v>30000</v>
          </cell>
        </row>
        <row r="154">
          <cell r="B154">
            <v>30000</v>
          </cell>
        </row>
        <row r="160">
          <cell r="B160">
            <v>132000</v>
          </cell>
        </row>
        <row r="161">
          <cell r="B161">
            <v>70000</v>
          </cell>
        </row>
        <row r="162">
          <cell r="B162">
            <v>62000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22000</v>
          </cell>
        </row>
        <row r="19">
          <cell r="B19">
            <v>22000</v>
          </cell>
        </row>
        <row r="20">
          <cell r="B20">
            <v>0</v>
          </cell>
        </row>
        <row r="25">
          <cell r="B25">
            <v>92000</v>
          </cell>
        </row>
        <row r="32">
          <cell r="B32">
            <v>12000</v>
          </cell>
        </row>
        <row r="45">
          <cell r="B45">
            <v>27000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197000</v>
          </cell>
        </row>
        <row r="60">
          <cell r="B60">
            <v>60000</v>
          </cell>
        </row>
        <row r="61">
          <cell r="B61">
            <v>137000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200</v>
          </cell>
        </row>
        <row r="80">
          <cell r="B80">
            <v>11000</v>
          </cell>
        </row>
        <row r="87">
          <cell r="B87">
            <v>13000</v>
          </cell>
        </row>
        <row r="94">
          <cell r="B94">
            <v>3000</v>
          </cell>
        </row>
      </sheetData>
      <sheetData sheetId="4">
        <row r="4">
          <cell r="B4">
            <v>560000</v>
          </cell>
        </row>
        <row r="5">
          <cell r="B5">
            <v>560000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112000</v>
          </cell>
        </row>
        <row r="11">
          <cell r="B11">
            <v>0</v>
          </cell>
        </row>
        <row r="18">
          <cell r="B18">
            <v>254000</v>
          </cell>
        </row>
        <row r="19">
          <cell r="B19">
            <v>46000</v>
          </cell>
        </row>
        <row r="20">
          <cell r="B20">
            <v>43000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82000</v>
          </cell>
        </row>
        <row r="29">
          <cell r="B29">
            <v>45000</v>
          </cell>
        </row>
        <row r="30">
          <cell r="B30">
            <v>37000</v>
          </cell>
        </row>
        <row r="35">
          <cell r="B35">
            <v>169000</v>
          </cell>
        </row>
        <row r="49">
          <cell r="B49">
            <v>83000</v>
          </cell>
        </row>
        <row r="70">
          <cell r="B70">
            <v>212000</v>
          </cell>
        </row>
        <row r="77">
          <cell r="B77">
            <v>122000</v>
          </cell>
        </row>
        <row r="78">
          <cell r="B78">
            <v>40000</v>
          </cell>
        </row>
        <row r="79">
          <cell r="B79">
            <v>40000</v>
          </cell>
        </row>
        <row r="80">
          <cell r="B80">
            <v>42000</v>
          </cell>
        </row>
        <row r="85">
          <cell r="B85">
            <v>290000</v>
          </cell>
        </row>
        <row r="86">
          <cell r="B86">
            <v>220000</v>
          </cell>
        </row>
        <row r="87">
          <cell r="B87">
            <v>70000</v>
          </cell>
        </row>
        <row r="92">
          <cell r="B92">
            <v>170000</v>
          </cell>
        </row>
        <row r="93">
          <cell r="B93"/>
        </row>
        <row r="94">
          <cell r="B94">
            <v>170000</v>
          </cell>
        </row>
        <row r="99">
          <cell r="B99">
            <v>1500</v>
          </cell>
        </row>
        <row r="106">
          <cell r="B106">
            <v>9000</v>
          </cell>
        </row>
        <row r="120">
          <cell r="B120">
            <v>5000</v>
          </cell>
        </row>
        <row r="127">
          <cell r="B127">
            <v>0</v>
          </cell>
        </row>
        <row r="134">
          <cell r="B134">
            <v>4000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0</v>
          </cell>
        </row>
        <row r="11">
          <cell r="B11">
            <v>1000</v>
          </cell>
        </row>
        <row r="12">
          <cell r="B12">
            <v>1000</v>
          </cell>
        </row>
        <row r="13">
          <cell r="B13">
            <v>0</v>
          </cell>
        </row>
        <row r="18">
          <cell r="B18">
            <v>2000</v>
          </cell>
        </row>
        <row r="19">
          <cell r="B19">
            <v>1000</v>
          </cell>
        </row>
        <row r="20">
          <cell r="B20">
            <v>1000</v>
          </cell>
        </row>
        <row r="25">
          <cell r="B25">
            <v>6000</v>
          </cell>
        </row>
        <row r="26">
          <cell r="B26">
            <v>6000</v>
          </cell>
        </row>
        <row r="27">
          <cell r="B27">
            <v>0</v>
          </cell>
        </row>
      </sheetData>
      <sheetData sheetId="8"/>
      <sheetData sheetId="9">
        <row r="4">
          <cell r="B4">
            <v>300000</v>
          </cell>
        </row>
        <row r="11">
          <cell r="B11">
            <v>100000</v>
          </cell>
        </row>
        <row r="12">
          <cell r="B12">
            <v>35000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60000</v>
          </cell>
        </row>
        <row r="20">
          <cell r="B20">
            <v>60000</v>
          </cell>
        </row>
        <row r="21">
          <cell r="B21">
            <v>0</v>
          </cell>
        </row>
        <row r="26">
          <cell r="B26">
            <v>3000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54">
          <cell r="B54">
            <v>2000</v>
          </cell>
        </row>
        <row r="61">
          <cell r="B61">
            <v>177000</v>
          </cell>
        </row>
        <row r="62">
          <cell r="B62">
            <v>122000</v>
          </cell>
        </row>
        <row r="63">
          <cell r="B63">
            <v>35000</v>
          </cell>
        </row>
        <row r="64">
          <cell r="B64">
            <v>20000</v>
          </cell>
        </row>
        <row r="69">
          <cell r="B69">
            <v>0</v>
          </cell>
        </row>
        <row r="70">
          <cell r="B70">
            <v>0</v>
          </cell>
        </row>
        <row r="76">
          <cell r="B76">
            <v>56000</v>
          </cell>
        </row>
        <row r="83">
          <cell r="B83">
            <v>0</v>
          </cell>
        </row>
        <row r="90">
          <cell r="B90">
            <v>2000</v>
          </cell>
        </row>
        <row r="97">
          <cell r="B97">
            <v>2000</v>
          </cell>
        </row>
      </sheetData>
      <sheetData sheetId="10">
        <row r="4">
          <cell r="B4">
            <v>0</v>
          </cell>
        </row>
        <row r="11">
          <cell r="B11">
            <v>530000</v>
          </cell>
        </row>
        <row r="12">
          <cell r="B12">
            <v>530000</v>
          </cell>
        </row>
        <row r="13">
          <cell r="B13">
            <v>0</v>
          </cell>
        </row>
      </sheetData>
      <sheetData sheetId="11">
        <row r="4">
          <cell r="B4">
            <v>121000</v>
          </cell>
        </row>
        <row r="5">
          <cell r="B5">
            <v>121000</v>
          </cell>
        </row>
        <row r="6">
          <cell r="B6">
            <v>0</v>
          </cell>
        </row>
        <row r="13">
          <cell r="B13">
            <v>25000</v>
          </cell>
        </row>
        <row r="14">
          <cell r="B14">
            <v>10000</v>
          </cell>
        </row>
        <row r="15">
          <cell r="B15">
            <v>15000</v>
          </cell>
        </row>
        <row r="16">
          <cell r="B16">
            <v>0</v>
          </cell>
        </row>
        <row r="21">
          <cell r="B21">
            <v>88000</v>
          </cell>
        </row>
        <row r="22">
          <cell r="B22">
            <v>0</v>
          </cell>
        </row>
        <row r="23">
          <cell r="B23">
            <v>88000</v>
          </cell>
        </row>
        <row r="28">
          <cell r="B28">
            <v>870000</v>
          </cell>
        </row>
        <row r="29">
          <cell r="B29">
            <v>120000</v>
          </cell>
        </row>
        <row r="30">
          <cell r="B30">
            <v>120000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290000</v>
          </cell>
        </row>
        <row r="39">
          <cell r="B39">
            <v>92000</v>
          </cell>
        </row>
        <row r="46">
          <cell r="B46">
            <v>150000</v>
          </cell>
        </row>
        <row r="53">
          <cell r="B53">
            <v>8000</v>
          </cell>
        </row>
        <row r="60">
          <cell r="B60">
            <v>0</v>
          </cell>
        </row>
        <row r="69">
          <cell r="B69">
            <v>8100</v>
          </cell>
        </row>
      </sheetData>
      <sheetData sheetId="12">
        <row r="4">
          <cell r="B4">
            <v>100000</v>
          </cell>
        </row>
        <row r="11">
          <cell r="B11">
            <v>150000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</v>
          </cell>
        </row>
        <row r="19">
          <cell r="B19">
            <v>45000</v>
          </cell>
        </row>
        <row r="20">
          <cell r="B20">
            <v>30000</v>
          </cell>
        </row>
        <row r="21">
          <cell r="B21">
            <v>15000</v>
          </cell>
        </row>
        <row r="33">
          <cell r="B33">
            <v>52000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7">
          <cell r="B47">
            <v>50000</v>
          </cell>
        </row>
        <row r="54">
          <cell r="B54">
            <v>25000</v>
          </cell>
        </row>
        <row r="55">
          <cell r="B55">
            <v>25000</v>
          </cell>
        </row>
        <row r="56">
          <cell r="B56">
            <v>0</v>
          </cell>
        </row>
        <row r="61">
          <cell r="B61">
            <v>185000</v>
          </cell>
        </row>
        <row r="62">
          <cell r="B62">
            <v>75000</v>
          </cell>
        </row>
        <row r="63">
          <cell r="B63">
            <v>110000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5">
          <cell r="B75">
            <v>2000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3">
        <row r="4">
          <cell r="D4">
            <v>81000</v>
          </cell>
        </row>
        <row r="5">
          <cell r="B5">
            <v>0</v>
          </cell>
        </row>
        <row r="6">
          <cell r="B6">
            <v>81000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pativní rozpočet"/>
      <sheetName val="Správa"/>
      <sheetName val="TSÚ"/>
      <sheetName val="Byty"/>
      <sheetName val="DPS"/>
      <sheetName val="Hotel Budka"/>
      <sheetName val="Nebyty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1300000</v>
          </cell>
        </row>
        <row r="5">
          <cell r="B5">
            <v>735912</v>
          </cell>
        </row>
        <row r="6">
          <cell r="B6">
            <v>564088</v>
          </cell>
        </row>
        <row r="11">
          <cell r="B11">
            <v>100</v>
          </cell>
        </row>
        <row r="12">
          <cell r="B12">
            <v>100</v>
          </cell>
        </row>
        <row r="18">
          <cell r="B18">
            <v>5000</v>
          </cell>
        </row>
        <row r="25">
          <cell r="B25">
            <v>82000</v>
          </cell>
        </row>
        <row r="26">
          <cell r="B26">
            <v>50000</v>
          </cell>
        </row>
        <row r="27">
          <cell r="B27">
            <v>32000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0</v>
          </cell>
        </row>
        <row r="53">
          <cell r="B53">
            <v>6366000</v>
          </cell>
        </row>
        <row r="54">
          <cell r="B54">
            <v>566000</v>
          </cell>
        </row>
        <row r="55">
          <cell r="B55">
            <v>5800000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250000</v>
          </cell>
          <cell r="E11">
            <v>0</v>
          </cell>
        </row>
        <row r="12">
          <cell r="B12">
            <v>150000</v>
          </cell>
        </row>
        <row r="13">
          <cell r="B13">
            <v>100000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10000</v>
          </cell>
          <cell r="E11">
            <v>0</v>
          </cell>
        </row>
        <row r="12">
          <cell r="B12">
            <v>10000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2690000</v>
          </cell>
          <cell r="E25">
            <v>0</v>
          </cell>
        </row>
        <row r="26">
          <cell r="B26">
            <v>2050000</v>
          </cell>
        </row>
        <row r="27">
          <cell r="B27">
            <v>640000</v>
          </cell>
        </row>
        <row r="32">
          <cell r="D32">
            <v>1210000</v>
          </cell>
          <cell r="E32">
            <v>30000</v>
          </cell>
        </row>
        <row r="33">
          <cell r="B33">
            <v>290000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200000</v>
          </cell>
        </row>
        <row r="38">
          <cell r="B38">
            <v>300000</v>
          </cell>
        </row>
        <row r="39">
          <cell r="B39">
            <v>200000</v>
          </cell>
        </row>
        <row r="44">
          <cell r="B44">
            <v>105000</v>
          </cell>
        </row>
        <row r="45">
          <cell r="B45">
            <v>105000</v>
          </cell>
        </row>
      </sheetData>
      <sheetData sheetId="5">
        <row r="4">
          <cell r="D4">
            <v>90000</v>
          </cell>
          <cell r="E4">
            <v>0</v>
          </cell>
        </row>
        <row r="5">
          <cell r="B5">
            <v>50000</v>
          </cell>
        </row>
        <row r="6">
          <cell r="B6">
            <v>40000</v>
          </cell>
        </row>
        <row r="12">
          <cell r="D12">
            <v>16000</v>
          </cell>
          <cell r="E12">
            <v>0</v>
          </cell>
        </row>
        <row r="13">
          <cell r="B13">
            <v>6000</v>
          </cell>
        </row>
        <row r="14">
          <cell r="B14">
            <v>10000</v>
          </cell>
        </row>
        <row r="19">
          <cell r="D19">
            <v>44000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890000</v>
          </cell>
          <cell r="E33">
            <v>100000</v>
          </cell>
        </row>
        <row r="34">
          <cell r="B34">
            <v>500000</v>
          </cell>
        </row>
        <row r="35">
          <cell r="B35">
            <v>130000</v>
          </cell>
        </row>
        <row r="36">
          <cell r="B36">
            <v>160000</v>
          </cell>
        </row>
        <row r="37">
          <cell r="B37">
            <v>200000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7">
        <row r="4">
          <cell r="D4">
            <v>205000</v>
          </cell>
          <cell r="E4">
            <v>0</v>
          </cell>
        </row>
        <row r="5">
          <cell r="B5">
            <v>205000</v>
          </cell>
        </row>
        <row r="6">
          <cell r="B6"/>
        </row>
        <row r="11">
          <cell r="D11">
            <v>430000</v>
          </cell>
          <cell r="E11">
            <v>90000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140000</v>
          </cell>
        </row>
        <row r="16">
          <cell r="B16">
            <v>100000</v>
          </cell>
        </row>
        <row r="17">
          <cell r="B17">
            <v>0</v>
          </cell>
        </row>
        <row r="22">
          <cell r="D22">
            <v>90000</v>
          </cell>
          <cell r="E22">
            <v>0</v>
          </cell>
        </row>
        <row r="23">
          <cell r="B23">
            <v>60000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60000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40">
          <cell r="B40">
            <v>45000</v>
          </cell>
        </row>
        <row r="41">
          <cell r="A41"/>
          <cell r="B41">
            <v>45000</v>
          </cell>
        </row>
      </sheetData>
      <sheetData sheetId="10">
        <row r="4">
          <cell r="B4">
            <v>17000</v>
          </cell>
        </row>
        <row r="5">
          <cell r="B5">
            <v>17000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0</v>
          </cell>
          <cell r="E4">
            <v>20000</v>
          </cell>
        </row>
        <row r="5">
          <cell r="B5">
            <v>20000</v>
          </cell>
        </row>
        <row r="6">
          <cell r="B6">
            <v>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D25">
            <v>53000</v>
          </cell>
          <cell r="E25">
            <v>0</v>
          </cell>
        </row>
        <row r="26">
          <cell r="B26">
            <v>53000</v>
          </cell>
        </row>
        <row r="27">
          <cell r="B27">
            <v>0</v>
          </cell>
        </row>
        <row r="33">
          <cell r="B33">
            <v>15000</v>
          </cell>
          <cell r="D33">
            <v>15000</v>
          </cell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290000</v>
          </cell>
          <cell r="E27">
            <v>0</v>
          </cell>
        </row>
        <row r="28">
          <cell r="B28">
            <v>180000</v>
          </cell>
        </row>
        <row r="29">
          <cell r="B29">
            <v>110000</v>
          </cell>
        </row>
        <row r="35">
          <cell r="B35">
            <v>255000</v>
          </cell>
          <cell r="D35">
            <v>255000</v>
          </cell>
          <cell r="E35"/>
        </row>
        <row r="36">
          <cell r="B36">
            <v>115000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210000</v>
          </cell>
          <cell r="E14">
            <v>70000</v>
          </cell>
        </row>
        <row r="15">
          <cell r="B15">
            <v>104100</v>
          </cell>
        </row>
        <row r="16">
          <cell r="B16">
            <v>175900</v>
          </cell>
        </row>
        <row r="21">
          <cell r="D21">
            <v>250000</v>
          </cell>
          <cell r="E21">
            <v>200000</v>
          </cell>
        </row>
        <row r="22">
          <cell r="B22">
            <v>300000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1660000</v>
          </cell>
          <cell r="E11">
            <v>0</v>
          </cell>
        </row>
        <row r="12">
          <cell r="B12">
            <v>660000</v>
          </cell>
        </row>
        <row r="13">
          <cell r="B13">
            <v>1000000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25000</v>
          </cell>
          <cell r="E4">
            <v>0</v>
          </cell>
        </row>
        <row r="5">
          <cell r="B5">
            <v>15000</v>
          </cell>
        </row>
        <row r="6">
          <cell r="B6">
            <v>10000</v>
          </cell>
        </row>
        <row r="11">
          <cell r="D11">
            <v>130000</v>
          </cell>
          <cell r="E11">
            <v>0</v>
          </cell>
        </row>
        <row r="12">
          <cell r="B12">
            <v>80000</v>
          </cell>
        </row>
        <row r="13">
          <cell r="B13">
            <v>50000</v>
          </cell>
        </row>
      </sheetData>
      <sheetData sheetId="19">
        <row r="4">
          <cell r="D4">
            <v>18000</v>
          </cell>
          <cell r="E4">
            <v>0</v>
          </cell>
        </row>
        <row r="5">
          <cell r="B5">
            <v>18000</v>
          </cell>
        </row>
        <row r="6">
          <cell r="B6">
            <v>0</v>
          </cell>
        </row>
        <row r="11">
          <cell r="D11">
            <v>111000</v>
          </cell>
          <cell r="E11">
            <v>30000</v>
          </cell>
        </row>
        <row r="12">
          <cell r="B12">
            <v>141000</v>
          </cell>
        </row>
        <row r="13">
          <cell r="B13">
            <v>0</v>
          </cell>
        </row>
      </sheetData>
      <sheetData sheetId="20">
        <row r="4">
          <cell r="D4">
            <v>55000</v>
          </cell>
          <cell r="E4">
            <v>0</v>
          </cell>
        </row>
        <row r="5">
          <cell r="B5">
            <v>55000</v>
          </cell>
        </row>
        <row r="6">
          <cell r="B6">
            <v>0</v>
          </cell>
        </row>
        <row r="11">
          <cell r="D11">
            <v>875000</v>
          </cell>
          <cell r="E11">
            <v>40000</v>
          </cell>
        </row>
        <row r="12">
          <cell r="B12">
            <v>120000</v>
          </cell>
        </row>
        <row r="13">
          <cell r="B13">
            <v>100000</v>
          </cell>
        </row>
        <row r="14">
          <cell r="B14">
            <v>695000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550000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0</v>
          </cell>
        </row>
        <row r="16">
          <cell r="B16">
            <v>300000</v>
          </cell>
        </row>
        <row r="21">
          <cell r="B21">
            <v>200000</v>
          </cell>
        </row>
        <row r="22">
          <cell r="B22">
            <v>200000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1160000</v>
          </cell>
          <cell r="E11">
            <v>0</v>
          </cell>
        </row>
        <row r="12">
          <cell r="B12">
            <v>1160000</v>
          </cell>
        </row>
        <row r="13">
          <cell r="B13"/>
        </row>
      </sheetData>
      <sheetData sheetId="2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65000</v>
          </cell>
          <cell r="E4">
            <v>0</v>
          </cell>
        </row>
        <row r="5">
          <cell r="B5">
            <v>0</v>
          </cell>
        </row>
        <row r="6">
          <cell r="B6">
            <v>4000</v>
          </cell>
        </row>
        <row r="7">
          <cell r="B7">
            <v>61000</v>
          </cell>
        </row>
        <row r="12">
          <cell r="D12">
            <v>195000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45000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1300000</v>
          </cell>
          <cell r="E12">
            <v>0</v>
          </cell>
        </row>
        <row r="13">
          <cell r="B13">
            <v>1270000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110000</v>
          </cell>
          <cell r="E20">
            <v>0</v>
          </cell>
        </row>
        <row r="21">
          <cell r="B21">
            <v>17900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102000</v>
          </cell>
          <cell r="E37">
            <v>0</v>
          </cell>
        </row>
        <row r="38">
          <cell r="B38">
            <v>51000</v>
          </cell>
        </row>
        <row r="39">
          <cell r="B39">
            <v>0</v>
          </cell>
        </row>
        <row r="40">
          <cell r="B40">
            <v>51000</v>
          </cell>
        </row>
        <row r="41">
          <cell r="B41">
            <v>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35000</v>
          </cell>
          <cell r="E11">
            <v>0</v>
          </cell>
        </row>
        <row r="12">
          <cell r="B12">
            <v>20000</v>
          </cell>
        </row>
        <row r="13">
          <cell r="B13">
            <v>10000</v>
          </cell>
        </row>
        <row r="14">
          <cell r="B14">
            <v>5000</v>
          </cell>
        </row>
        <row r="19">
          <cell r="D19">
            <v>40400</v>
          </cell>
          <cell r="E19">
            <v>0</v>
          </cell>
        </row>
        <row r="20">
          <cell r="B20">
            <v>400</v>
          </cell>
        </row>
        <row r="21">
          <cell r="B21">
            <v>40000</v>
          </cell>
        </row>
        <row r="30">
          <cell r="D30">
            <v>90000</v>
          </cell>
          <cell r="E30">
            <v>0</v>
          </cell>
        </row>
        <row r="31">
          <cell r="B31">
            <v>50000</v>
          </cell>
        </row>
        <row r="32">
          <cell r="B32">
            <v>20000</v>
          </cell>
        </row>
        <row r="33">
          <cell r="B33">
            <v>20000</v>
          </cell>
        </row>
        <row r="39">
          <cell r="D39">
            <v>7580000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895400</v>
          </cell>
        </row>
        <row r="47">
          <cell r="B47">
            <v>0</v>
          </cell>
        </row>
        <row r="48">
          <cell r="B48">
            <v>822800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/>
        </row>
        <row r="54">
          <cell r="B54">
            <v>300000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400000</v>
          </cell>
        </row>
        <row r="58">
          <cell r="B58">
            <v>340000</v>
          </cell>
        </row>
        <row r="59">
          <cell r="B59">
            <v>0</v>
          </cell>
        </row>
        <row r="60">
          <cell r="B60">
            <v>1043800</v>
          </cell>
        </row>
        <row r="61">
          <cell r="B61">
            <v>59000</v>
          </cell>
        </row>
        <row r="62">
          <cell r="B62">
            <v>530000</v>
          </cell>
        </row>
        <row r="63">
          <cell r="B63">
            <v>0</v>
          </cell>
        </row>
        <row r="64">
          <cell r="B64"/>
        </row>
        <row r="65">
          <cell r="B65">
            <v>1400000</v>
          </cell>
        </row>
        <row r="66">
          <cell r="B66">
            <v>1300000</v>
          </cell>
        </row>
        <row r="67">
          <cell r="B67">
            <v>89000</v>
          </cell>
          <cell r="E67"/>
        </row>
        <row r="69">
          <cell r="B69">
            <v>0</v>
          </cell>
        </row>
        <row r="70">
          <cell r="D70">
            <v>0</v>
          </cell>
        </row>
        <row r="71">
          <cell r="B71">
            <v>250000</v>
          </cell>
        </row>
        <row r="72">
          <cell r="B72">
            <v>0</v>
          </cell>
        </row>
        <row r="73">
          <cell r="B73">
            <v>0</v>
          </cell>
        </row>
        <row r="78">
          <cell r="B78">
            <v>290000</v>
          </cell>
        </row>
        <row r="80">
          <cell r="B80">
            <v>140000</v>
          </cell>
        </row>
        <row r="81">
          <cell r="D81">
            <v>150000</v>
          </cell>
        </row>
      </sheetData>
      <sheetData sheetId="27">
        <row r="4">
          <cell r="D4">
            <v>331000</v>
          </cell>
          <cell r="E4">
            <v>0</v>
          </cell>
        </row>
        <row r="5">
          <cell r="B5">
            <v>331000</v>
          </cell>
        </row>
        <row r="6">
          <cell r="B6">
            <v>0</v>
          </cell>
        </row>
        <row r="11">
          <cell r="D11">
            <v>62000</v>
          </cell>
          <cell r="E11">
            <v>0</v>
          </cell>
        </row>
        <row r="12">
          <cell r="B12">
            <v>12000</v>
          </cell>
        </row>
        <row r="13">
          <cell r="B13">
            <v>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21000</v>
          </cell>
          <cell r="E4">
            <v>0</v>
          </cell>
        </row>
        <row r="5">
          <cell r="B5">
            <v>21000</v>
          </cell>
        </row>
        <row r="6">
          <cell r="B6">
            <v>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50000</v>
          </cell>
          <cell r="E4">
            <v>300000</v>
          </cell>
        </row>
        <row r="5">
          <cell r="B5">
            <v>0</v>
          </cell>
        </row>
        <row r="6">
          <cell r="B6">
            <v>350000</v>
          </cell>
        </row>
        <row r="11">
          <cell r="D11">
            <v>830000</v>
          </cell>
          <cell r="E11">
            <v>0</v>
          </cell>
        </row>
        <row r="12">
          <cell r="B12">
            <v>400000</v>
          </cell>
        </row>
        <row r="13">
          <cell r="B13">
            <v>430000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Nebyty"/>
      <sheetName val="Hotel Budka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2000000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2000000</v>
          </cell>
        </row>
        <row r="26">
          <cell r="B26">
            <v>0</v>
          </cell>
        </row>
        <row r="43">
          <cell r="B43">
            <v>0</v>
          </cell>
        </row>
      </sheetData>
      <sheetData sheetId="1">
        <row r="4">
          <cell r="B4">
            <v>9300000</v>
          </cell>
        </row>
        <row r="5">
          <cell r="B5">
            <v>500000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9300000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2">
        <row r="4">
          <cell r="B4">
            <v>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</sheetData>
      <sheetData sheetId="3"/>
      <sheetData sheetId="4">
        <row r="3">
          <cell r="D3">
            <v>70000</v>
          </cell>
          <cell r="E3">
            <v>0</v>
          </cell>
        </row>
        <row r="4">
          <cell r="B4">
            <v>20000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720000</v>
          </cell>
          <cell r="E3">
            <v>0</v>
          </cell>
        </row>
        <row r="4">
          <cell r="B4">
            <v>150000</v>
          </cell>
        </row>
        <row r="5">
          <cell r="B5">
            <v>100000</v>
          </cell>
        </row>
        <row r="6">
          <cell r="B6">
            <v>100000</v>
          </cell>
        </row>
        <row r="7">
          <cell r="B7">
            <v>100000</v>
          </cell>
        </row>
        <row r="8">
          <cell r="B8">
            <v>270000</v>
          </cell>
        </row>
      </sheetData>
      <sheetData sheetId="6">
        <row r="4">
          <cell r="B4">
            <v>100000</v>
          </cell>
        </row>
        <row r="5">
          <cell r="B5">
            <v>400000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0</v>
          </cell>
        </row>
        <row r="117">
          <cell r="C117">
            <v>0</v>
          </cell>
          <cell r="D117">
            <v>0</v>
          </cell>
        </row>
        <row r="118">
          <cell r="B118">
            <v>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0</v>
          </cell>
        </row>
        <row r="247">
          <cell r="B247">
            <v>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50000</v>
          </cell>
        </row>
        <row r="314">
          <cell r="B314">
            <v>100000</v>
          </cell>
        </row>
        <row r="317">
          <cell r="B317">
            <v>0</v>
          </cell>
        </row>
      </sheetData>
      <sheetData sheetId="7">
        <row r="4">
          <cell r="B4">
            <v>7958080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40000</v>
          </cell>
        </row>
        <row r="5">
          <cell r="B5">
            <v>40000</v>
          </cell>
        </row>
        <row r="6">
          <cell r="B6">
            <v>0</v>
          </cell>
        </row>
        <row r="11">
          <cell r="B11">
            <v>3800000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10000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41920000</v>
          </cell>
        </row>
        <row r="5">
          <cell r="B5">
            <v>100000</v>
          </cell>
        </row>
        <row r="7">
          <cell r="B7">
            <v>100000</v>
          </cell>
        </row>
        <row r="12">
          <cell r="C12">
            <v>30398512</v>
          </cell>
          <cell r="D12">
            <v>6941488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50600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15145</v>
          </cell>
        </row>
        <row r="9">
          <cell r="B9">
            <v>1210</v>
          </cell>
        </row>
        <row r="10">
          <cell r="B10">
            <v>17332</v>
          </cell>
        </row>
        <row r="11">
          <cell r="B11">
            <v>225</v>
          </cell>
        </row>
        <row r="12">
          <cell r="B12">
            <v>10176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3700000</v>
          </cell>
        </row>
        <row r="6">
          <cell r="B6">
            <v>3700000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22800000</v>
          </cell>
        </row>
        <row r="5">
          <cell r="B5">
            <v>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5900000</v>
          </cell>
          <cell r="D53">
            <v>16850000</v>
          </cell>
        </row>
        <row r="54">
          <cell r="B54">
            <v>0</v>
          </cell>
        </row>
        <row r="60">
          <cell r="C60">
            <v>5900000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0</v>
          </cell>
        </row>
      </sheetData>
      <sheetData sheetId="23">
        <row r="6">
          <cell r="B6">
            <v>260000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12">
          <cell r="B12">
            <v>180000</v>
          </cell>
        </row>
        <row r="20">
          <cell r="B20">
            <v>0</v>
          </cell>
        </row>
        <row r="22">
          <cell r="B22">
            <v>0</v>
          </cell>
        </row>
        <row r="23">
          <cell r="B23">
            <v>0</v>
          </cell>
        </row>
        <row r="29">
          <cell r="B29">
            <v>290000</v>
          </cell>
        </row>
        <row r="31">
          <cell r="B31">
            <v>150000</v>
          </cell>
        </row>
        <row r="32">
          <cell r="B32">
            <v>140000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0</v>
          </cell>
        </row>
        <row r="29">
          <cell r="B29">
            <v>0</v>
          </cell>
        </row>
        <row r="42">
          <cell r="B42">
            <v>106000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33000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33000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B4">
            <v>13000</v>
          </cell>
        </row>
        <row r="6">
          <cell r="B6">
            <v>3000</v>
          </cell>
        </row>
        <row r="7">
          <cell r="B7">
            <v>10000</v>
          </cell>
        </row>
        <row r="12">
          <cell r="B12">
            <v>3000</v>
          </cell>
        </row>
        <row r="20">
          <cell r="D20">
            <v>1135000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36000</v>
          </cell>
        </row>
        <row r="27">
          <cell r="B27">
            <v>1099000</v>
          </cell>
        </row>
        <row r="32">
          <cell r="B32">
            <v>100000</v>
          </cell>
        </row>
        <row r="34">
          <cell r="B34">
            <v>100000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60000</v>
          </cell>
        </row>
        <row r="23">
          <cell r="B23">
            <v>60000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f1"/>
      <sheetName val="Úroky"/>
      <sheetName val="Splátky jistiny"/>
      <sheetName val="Všebecná pokladna"/>
      <sheetName val="Volby "/>
      <sheetName val="Krizové situace-5213"/>
      <sheetName val="Správa"/>
      <sheetName val="Knihovna"/>
      <sheetName val="Byty"/>
      <sheetName val="DPS"/>
      <sheetName val="Nebyty"/>
      <sheetName val="Hotel Budka"/>
      <sheetName val="Hasiči"/>
      <sheetName val="TESKO"/>
      <sheetName val="Silnice"/>
      <sheetName val="3329"/>
      <sheetName val="Hřbitov"/>
      <sheetName val="Koupaliště"/>
      <sheetName val="Hřiště"/>
      <sheetName val="Spolky"/>
      <sheetName val="ZŠ"/>
      <sheetName val="Sv.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 refreshError="1"/>
      <sheetData sheetId="1">
        <row r="11">
          <cell r="B11">
            <v>2586000.016443999</v>
          </cell>
        </row>
        <row r="15">
          <cell r="B15">
            <v>100</v>
          </cell>
        </row>
        <row r="29">
          <cell r="B29">
            <v>115000</v>
          </cell>
        </row>
      </sheetData>
      <sheetData sheetId="2">
        <row r="12">
          <cell r="B12">
            <v>9950674</v>
          </cell>
        </row>
      </sheetData>
      <sheetData sheetId="3">
        <row r="49">
          <cell r="B49">
            <v>3380000</v>
          </cell>
        </row>
        <row r="50">
          <cell r="D50">
            <v>197297</v>
          </cell>
        </row>
        <row r="51">
          <cell r="D51">
            <v>1812973</v>
          </cell>
        </row>
        <row r="52">
          <cell r="D52">
            <v>1369730</v>
          </cell>
        </row>
        <row r="57">
          <cell r="B57">
            <v>2850000</v>
          </cell>
        </row>
        <row r="64">
          <cell r="B64">
            <v>1980000</v>
          </cell>
        </row>
        <row r="71">
          <cell r="B71">
            <v>0</v>
          </cell>
        </row>
        <row r="85">
          <cell r="B85">
            <v>0</v>
          </cell>
        </row>
        <row r="100">
          <cell r="B100">
            <v>0</v>
          </cell>
        </row>
        <row r="107">
          <cell r="B107">
            <v>150300</v>
          </cell>
        </row>
        <row r="114">
          <cell r="B114">
            <v>1011000</v>
          </cell>
        </row>
      </sheetData>
      <sheetData sheetId="4">
        <row r="25">
          <cell r="B25">
            <v>10000</v>
          </cell>
        </row>
        <row r="32">
          <cell r="B32">
            <v>7434</v>
          </cell>
        </row>
      </sheetData>
      <sheetData sheetId="5">
        <row r="4">
          <cell r="B4">
            <v>74054</v>
          </cell>
        </row>
      </sheetData>
      <sheetData sheetId="6">
        <row r="4">
          <cell r="D4">
            <v>86000</v>
          </cell>
          <cell r="E4">
            <v>0</v>
          </cell>
        </row>
        <row r="11">
          <cell r="D11">
            <v>485000</v>
          </cell>
          <cell r="E11">
            <v>0</v>
          </cell>
        </row>
        <row r="18">
          <cell r="D18">
            <v>726000</v>
          </cell>
          <cell r="E18">
            <v>0</v>
          </cell>
        </row>
      </sheetData>
      <sheetData sheetId="7">
        <row r="4">
          <cell r="B4">
            <v>5000</v>
          </cell>
        </row>
        <row r="11">
          <cell r="B11">
            <v>2000</v>
          </cell>
        </row>
        <row r="18">
          <cell r="B18">
            <v>100000</v>
          </cell>
        </row>
      </sheetData>
      <sheetData sheetId="8">
        <row r="4">
          <cell r="B4">
            <v>23000</v>
          </cell>
        </row>
        <row r="11">
          <cell r="B11">
            <v>234000</v>
          </cell>
        </row>
        <row r="18">
          <cell r="B18">
            <v>195000</v>
          </cell>
        </row>
      </sheetData>
      <sheetData sheetId="9">
        <row r="4">
          <cell r="B4">
            <v>500000</v>
          </cell>
        </row>
        <row r="11">
          <cell r="B11">
            <v>1066000</v>
          </cell>
        </row>
        <row r="18">
          <cell r="B18">
            <v>145000</v>
          </cell>
        </row>
      </sheetData>
      <sheetData sheetId="10">
        <row r="4">
          <cell r="B4">
            <v>11000</v>
          </cell>
        </row>
        <row r="11">
          <cell r="B11">
            <v>127760</v>
          </cell>
        </row>
        <row r="18">
          <cell r="B18">
            <v>136000</v>
          </cell>
        </row>
      </sheetData>
      <sheetData sheetId="11">
        <row r="4">
          <cell r="B4">
            <v>0</v>
          </cell>
        </row>
        <row r="11">
          <cell r="B11">
            <v>2240</v>
          </cell>
        </row>
        <row r="18">
          <cell r="B18">
            <v>24000</v>
          </cell>
        </row>
      </sheetData>
      <sheetData sheetId="12">
        <row r="4">
          <cell r="B4">
            <v>39000</v>
          </cell>
        </row>
        <row r="11">
          <cell r="B11">
            <v>100000</v>
          </cell>
        </row>
        <row r="18">
          <cell r="B18">
            <v>80000</v>
          </cell>
        </row>
      </sheetData>
      <sheetData sheetId="13">
        <row r="4">
          <cell r="B4">
            <v>0</v>
          </cell>
        </row>
      </sheetData>
      <sheetData sheetId="14">
        <row r="4">
          <cell r="B4">
            <v>141000</v>
          </cell>
        </row>
      </sheetData>
      <sheetData sheetId="15">
        <row r="18">
          <cell r="B18">
            <v>3000</v>
          </cell>
        </row>
      </sheetData>
      <sheetData sheetId="16">
        <row r="4">
          <cell r="B4">
            <v>3000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</sheetData>
      <sheetData sheetId="19">
        <row r="4">
          <cell r="B4">
            <v>0</v>
          </cell>
        </row>
        <row r="11">
          <cell r="B11">
            <v>1200000</v>
          </cell>
        </row>
      </sheetData>
      <sheetData sheetId="20">
        <row r="4">
          <cell r="B4">
            <v>8000</v>
          </cell>
        </row>
        <row r="11">
          <cell r="B11">
            <v>350000</v>
          </cell>
        </row>
        <row r="18">
          <cell r="B18">
            <v>36500</v>
          </cell>
        </row>
        <row r="25">
          <cell r="B25">
            <v>900000</v>
          </cell>
        </row>
        <row r="32">
          <cell r="B32">
            <v>20700000</v>
          </cell>
        </row>
        <row r="39">
          <cell r="B39">
            <v>5761000</v>
          </cell>
        </row>
        <row r="40">
          <cell r="B40">
            <v>5761000</v>
          </cell>
        </row>
      </sheetData>
      <sheetData sheetId="2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32">
          <cell r="B32">
            <v>1062000</v>
          </cell>
        </row>
      </sheetData>
      <sheetData sheetId="22">
        <row r="4">
          <cell r="B4">
            <v>20000</v>
          </cell>
        </row>
        <row r="11">
          <cell r="B11">
            <v>70000</v>
          </cell>
        </row>
        <row r="18">
          <cell r="B18">
            <v>40000</v>
          </cell>
        </row>
      </sheetData>
      <sheetData sheetId="23">
        <row r="4">
          <cell r="B4">
            <v>1402400</v>
          </cell>
        </row>
      </sheetData>
      <sheetData sheetId="24">
        <row r="4">
          <cell r="B4">
            <v>0</v>
          </cell>
        </row>
      </sheetData>
      <sheetData sheetId="25">
        <row r="4">
          <cell r="B4">
            <v>5006731</v>
          </cell>
        </row>
      </sheetData>
      <sheetData sheetId="26">
        <row r="4">
          <cell r="B4">
            <v>200000</v>
          </cell>
        </row>
      </sheetData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O263"/>
  <sheetViews>
    <sheetView topLeftCell="A184" zoomScale="95" zoomScaleNormal="95" workbookViewId="0">
      <selection activeCell="M196" sqref="M196"/>
    </sheetView>
  </sheetViews>
  <sheetFormatPr defaultColWidth="9" defaultRowHeight="14.65" outlineLevelRow="1" outlineLevelCol="2"/>
  <cols>
    <col min="1" max="1" width="10.59765625" style="2167" customWidth="1"/>
    <col min="2" max="2" width="63.59765625" style="2167" customWidth="1"/>
    <col min="3" max="3" width="8.59765625" style="2480" bestFit="1" customWidth="1"/>
    <col min="4" max="4" width="13.59765625" style="2208" hidden="1" customWidth="1"/>
    <col min="5" max="5" width="15.86328125" style="2208" hidden="1" customWidth="1"/>
    <col min="6" max="6" width="14.3984375" style="2208" hidden="1" customWidth="1" outlineLevel="2"/>
    <col min="7" max="9" width="13.59765625" style="2208" hidden="1" customWidth="1" outlineLevel="2"/>
    <col min="10" max="10" width="14.59765625" style="2208" hidden="1" customWidth="1" outlineLevel="2"/>
    <col min="11" max="11" width="17.3984375" style="2208" customWidth="1" outlineLevel="2"/>
    <col min="12" max="12" width="17" style="2208" customWidth="1"/>
    <col min="13" max="13" width="18.73046875" style="2229" customWidth="1" outlineLevel="1"/>
    <col min="14" max="14" width="12.265625" style="2167" bestFit="1" customWidth="1"/>
    <col min="15" max="16384" width="9" style="2167"/>
  </cols>
  <sheetData>
    <row r="1" spans="1:14">
      <c r="A1" s="2324"/>
      <c r="B1" s="2324"/>
      <c r="C1" s="2325"/>
      <c r="D1" s="2326"/>
      <c r="E1" s="2326"/>
      <c r="F1" s="2326"/>
      <c r="G1" s="2326"/>
      <c r="H1" s="2326"/>
      <c r="I1" s="2326"/>
      <c r="J1" s="2326"/>
      <c r="K1" s="2326"/>
      <c r="L1" s="2326"/>
      <c r="M1" s="2327"/>
    </row>
    <row r="2" spans="1:14">
      <c r="A2" s="2328" t="s">
        <v>2345</v>
      </c>
      <c r="B2" s="2328"/>
      <c r="C2" s="2329"/>
      <c r="D2" s="2330"/>
      <c r="E2" s="2330"/>
      <c r="F2" s="2330"/>
      <c r="G2" s="2330"/>
      <c r="H2" s="2330"/>
      <c r="I2" s="2330"/>
      <c r="J2" s="2330"/>
      <c r="K2" s="2330"/>
      <c r="L2" s="2330"/>
      <c r="M2" s="2331"/>
    </row>
    <row r="3" spans="1:14">
      <c r="A3" s="2332"/>
      <c r="B3" s="2332"/>
      <c r="C3" s="2329"/>
      <c r="D3" s="2333"/>
      <c r="E3" s="2333"/>
      <c r="F3" s="2333"/>
      <c r="G3" s="2333"/>
      <c r="H3" s="2333"/>
      <c r="I3" s="2333"/>
      <c r="J3" s="2333"/>
      <c r="K3" s="2333"/>
      <c r="L3" s="2333"/>
      <c r="M3" s="2334"/>
    </row>
    <row r="4" spans="1:14" s="2234" customFormat="1" ht="29.65" thickBot="1">
      <c r="A4" s="2335" t="s">
        <v>220</v>
      </c>
      <c r="B4" s="2336"/>
      <c r="C4" s="2337" t="s">
        <v>63</v>
      </c>
      <c r="D4" s="2338" t="s">
        <v>2107</v>
      </c>
      <c r="E4" s="2338" t="s">
        <v>2346</v>
      </c>
      <c r="F4" s="2338" t="s">
        <v>1934</v>
      </c>
      <c r="G4" s="2338" t="s">
        <v>2644</v>
      </c>
      <c r="H4" s="2338" t="s">
        <v>2766</v>
      </c>
      <c r="I4" s="2338" t="s">
        <v>2107</v>
      </c>
      <c r="J4" s="2338" t="s">
        <v>2830</v>
      </c>
      <c r="K4" s="2338" t="s">
        <v>2855</v>
      </c>
      <c r="L4" s="2338" t="s">
        <v>2923</v>
      </c>
      <c r="M4" s="2339" t="s">
        <v>5</v>
      </c>
    </row>
    <row r="5" spans="1:14" ht="12" customHeight="1" thickBot="1">
      <c r="A5" s="2162"/>
      <c r="B5" s="2162"/>
      <c r="C5" s="2340"/>
      <c r="D5" s="2341"/>
      <c r="E5" s="2341"/>
      <c r="F5" s="2341"/>
      <c r="G5" s="2341"/>
      <c r="H5" s="2341"/>
      <c r="I5" s="2341"/>
      <c r="J5" s="2341"/>
      <c r="K5" s="2341"/>
      <c r="L5" s="2341"/>
      <c r="M5" s="2342"/>
    </row>
    <row r="6" spans="1:14" s="2234" customFormat="1" ht="15" customHeight="1" thickBot="1">
      <c r="A6" s="2343" t="s">
        <v>221</v>
      </c>
      <c r="B6" s="2344" t="s">
        <v>222</v>
      </c>
      <c r="C6" s="2345"/>
      <c r="D6" s="2346">
        <v>170345711</v>
      </c>
      <c r="E6" s="2346">
        <v>175911229</v>
      </c>
      <c r="F6" s="2346">
        <v>191588330</v>
      </c>
      <c r="G6" s="2346">
        <v>191588330</v>
      </c>
      <c r="H6" s="2346">
        <v>191588330</v>
      </c>
      <c r="I6" s="2346">
        <v>191588330</v>
      </c>
      <c r="J6" s="2346">
        <v>191588330</v>
      </c>
      <c r="K6" s="2346">
        <v>226285491</v>
      </c>
      <c r="L6" s="2347">
        <f>SUM(L7:L27)</f>
        <v>199085900</v>
      </c>
      <c r="M6" s="2348">
        <f>+L6-K6</f>
        <v>-27199591</v>
      </c>
    </row>
    <row r="7" spans="1:14" s="2291" customFormat="1" ht="18" customHeight="1" outlineLevel="1" thickTop="1">
      <c r="A7" s="2349"/>
      <c r="B7" s="2350" t="s">
        <v>1142</v>
      </c>
      <c r="C7" s="2351">
        <v>1111</v>
      </c>
      <c r="D7" s="2203">
        <v>24855312</v>
      </c>
      <c r="E7" s="2203">
        <v>27863123</v>
      </c>
      <c r="F7" s="2203">
        <v>27863123</v>
      </c>
      <c r="G7" s="2203">
        <v>27863123</v>
      </c>
      <c r="H7" s="2203">
        <v>27863123</v>
      </c>
      <c r="I7" s="2203">
        <v>27863123</v>
      </c>
      <c r="J7" s="2203">
        <v>27863123</v>
      </c>
      <c r="K7" s="2203">
        <v>34642124</v>
      </c>
      <c r="L7" s="2352">
        <f>'Příjmy kapitol celkem'!M7</f>
        <v>27500000</v>
      </c>
      <c r="M7" s="2353">
        <f t="shared" ref="M7:M72" si="0">+L7-K7</f>
        <v>-7142124</v>
      </c>
      <c r="N7" s="2229"/>
    </row>
    <row r="8" spans="1:14" s="2291" customFormat="1" ht="18" customHeight="1" outlineLevel="1">
      <c r="A8" s="2349"/>
      <c r="B8" s="2354" t="s">
        <v>1144</v>
      </c>
      <c r="C8" s="2355">
        <v>1112</v>
      </c>
      <c r="D8" s="2213">
        <v>1716548</v>
      </c>
      <c r="E8" s="2213">
        <v>2369138</v>
      </c>
      <c r="F8" s="2213">
        <v>2369138</v>
      </c>
      <c r="G8" s="2213">
        <v>2369138</v>
      </c>
      <c r="H8" s="2213">
        <v>2369138</v>
      </c>
      <c r="I8" s="2213">
        <v>2369138</v>
      </c>
      <c r="J8" s="2213">
        <v>2369138</v>
      </c>
      <c r="K8" s="2213">
        <v>3257880</v>
      </c>
      <c r="L8" s="2356">
        <f>'Příjmy kapitol celkem'!M8</f>
        <v>2700000</v>
      </c>
      <c r="M8" s="2353">
        <f t="shared" si="0"/>
        <v>-557880</v>
      </c>
      <c r="N8" s="2229"/>
    </row>
    <row r="9" spans="1:14" s="2291" customFormat="1" ht="18" customHeight="1" outlineLevel="1">
      <c r="A9" s="2349"/>
      <c r="B9" s="2354" t="s">
        <v>1143</v>
      </c>
      <c r="C9" s="2355">
        <v>1113</v>
      </c>
      <c r="D9" s="2213">
        <v>4953190</v>
      </c>
      <c r="E9" s="2213">
        <v>4995791</v>
      </c>
      <c r="F9" s="2213">
        <v>4995791</v>
      </c>
      <c r="G9" s="2213">
        <v>4995791</v>
      </c>
      <c r="H9" s="2213">
        <v>4995791</v>
      </c>
      <c r="I9" s="2213">
        <v>4995791</v>
      </c>
      <c r="J9" s="2213">
        <v>4995791</v>
      </c>
      <c r="K9" s="2213">
        <v>5755588</v>
      </c>
      <c r="L9" s="2356">
        <f>'Příjmy kapitol celkem'!M9</f>
        <v>5460000</v>
      </c>
      <c r="M9" s="2353">
        <f t="shared" si="0"/>
        <v>-295588</v>
      </c>
      <c r="N9" s="2229"/>
    </row>
    <row r="10" spans="1:14" s="2291" customFormat="1" ht="18" customHeight="1" outlineLevel="1">
      <c r="A10" s="2349"/>
      <c r="B10" s="2354" t="s">
        <v>1145</v>
      </c>
      <c r="C10" s="2355">
        <v>1111</v>
      </c>
      <c r="D10" s="2213">
        <v>771800</v>
      </c>
      <c r="E10" s="2213">
        <v>1094834</v>
      </c>
      <c r="F10" s="2213">
        <v>1094834</v>
      </c>
      <c r="G10" s="2213">
        <v>1094834</v>
      </c>
      <c r="H10" s="2213">
        <v>1094834</v>
      </c>
      <c r="I10" s="2213">
        <v>1094834</v>
      </c>
      <c r="J10" s="2213">
        <v>1094834</v>
      </c>
      <c r="K10" s="2213">
        <v>1159247</v>
      </c>
      <c r="L10" s="2356">
        <f>'Příjmy kapitol celkem'!M10</f>
        <v>1200000</v>
      </c>
      <c r="M10" s="2353">
        <f t="shared" si="0"/>
        <v>40753</v>
      </c>
      <c r="N10" s="2229"/>
    </row>
    <row r="11" spans="1:14" s="2291" customFormat="1" ht="18" customHeight="1" outlineLevel="1">
      <c r="A11" s="2349"/>
      <c r="B11" s="2354" t="s">
        <v>2329</v>
      </c>
      <c r="C11" s="2355">
        <v>1122</v>
      </c>
      <c r="D11" s="2213">
        <v>2118860</v>
      </c>
      <c r="E11" s="2213"/>
      <c r="F11" s="2213"/>
      <c r="G11" s="2213"/>
      <c r="H11" s="2213"/>
      <c r="I11" s="2213"/>
      <c r="J11" s="2213"/>
      <c r="K11" s="2213">
        <v>936000</v>
      </c>
      <c r="L11" s="2356">
        <v>936000</v>
      </c>
      <c r="M11" s="2353">
        <f t="shared" si="0"/>
        <v>0</v>
      </c>
      <c r="N11" s="2229"/>
    </row>
    <row r="12" spans="1:14" s="2291" customFormat="1" ht="18" customHeight="1" outlineLevel="1">
      <c r="A12" s="2349"/>
      <c r="B12" s="2354" t="s">
        <v>15</v>
      </c>
      <c r="C12" s="2355">
        <v>1121</v>
      </c>
      <c r="D12" s="2213">
        <v>35922921</v>
      </c>
      <c r="E12" s="2213">
        <v>39502801</v>
      </c>
      <c r="F12" s="2213">
        <v>39502801</v>
      </c>
      <c r="G12" s="2213">
        <v>39502801</v>
      </c>
      <c r="H12" s="2213">
        <v>39502801</v>
      </c>
      <c r="I12" s="2213">
        <v>39502801</v>
      </c>
      <c r="J12" s="2213">
        <v>39502801</v>
      </c>
      <c r="K12" s="2213">
        <v>48502801</v>
      </c>
      <c r="L12" s="2356">
        <f>'Příjmy kapitol celkem'!M12</f>
        <v>41300000</v>
      </c>
      <c r="M12" s="2353">
        <f t="shared" si="0"/>
        <v>-7202801</v>
      </c>
      <c r="N12" s="2229"/>
    </row>
    <row r="13" spans="1:14" s="2291" customFormat="1" ht="18" customHeight="1" outlineLevel="1">
      <c r="A13" s="2349"/>
      <c r="B13" s="2354" t="s">
        <v>16</v>
      </c>
      <c r="C13" s="2355">
        <v>1211</v>
      </c>
      <c r="D13" s="2213">
        <v>80505412</v>
      </c>
      <c r="E13" s="2213">
        <v>77563518</v>
      </c>
      <c r="F13" s="2213">
        <v>77563518</v>
      </c>
      <c r="G13" s="2213">
        <v>77563518</v>
      </c>
      <c r="H13" s="2213">
        <v>77563518</v>
      </c>
      <c r="I13" s="2213">
        <v>77563518</v>
      </c>
      <c r="J13" s="2213">
        <v>77563518</v>
      </c>
      <c r="K13" s="2213">
        <v>91600726</v>
      </c>
      <c r="L13" s="2356">
        <f>'Příjmy kapitol celkem'!M13</f>
        <v>77200000</v>
      </c>
      <c r="M13" s="2353">
        <f t="shared" si="0"/>
        <v>-14400726</v>
      </c>
      <c r="N13" s="2229"/>
    </row>
    <row r="14" spans="1:14" ht="18" customHeight="1" outlineLevel="1">
      <c r="A14" s="2357"/>
      <c r="B14" s="2358" t="s">
        <v>1932</v>
      </c>
      <c r="C14" s="2359" t="s">
        <v>17</v>
      </c>
      <c r="D14" s="2274">
        <v>26000</v>
      </c>
      <c r="E14" s="2274">
        <v>26000</v>
      </c>
      <c r="F14" s="2274">
        <v>26000</v>
      </c>
      <c r="G14" s="2274">
        <v>26000</v>
      </c>
      <c r="H14" s="2274">
        <v>26000</v>
      </c>
      <c r="I14" s="2274">
        <v>26000</v>
      </c>
      <c r="J14" s="2274">
        <v>26000</v>
      </c>
      <c r="K14" s="2274">
        <v>86000</v>
      </c>
      <c r="L14" s="2360">
        <f>'Příjmy kapitol celkem'!M14</f>
        <v>89000</v>
      </c>
      <c r="M14" s="2353">
        <f t="shared" si="0"/>
        <v>3000</v>
      </c>
      <c r="N14" s="2229"/>
    </row>
    <row r="15" spans="1:14" s="2366" customFormat="1" ht="18" customHeight="1" outlineLevel="1">
      <c r="A15" s="2361"/>
      <c r="B15" s="2362" t="s">
        <v>20</v>
      </c>
      <c r="C15" s="2363" t="s">
        <v>19</v>
      </c>
      <c r="D15" s="2364">
        <v>7326528</v>
      </c>
      <c r="E15" s="2364">
        <v>7924224</v>
      </c>
      <c r="F15" s="2364">
        <v>7924224</v>
      </c>
      <c r="G15" s="2364">
        <v>7924224</v>
      </c>
      <c r="H15" s="2364">
        <v>7924224</v>
      </c>
      <c r="I15" s="2364">
        <v>7924224</v>
      </c>
      <c r="J15" s="2364">
        <v>7924224</v>
      </c>
      <c r="K15" s="2364">
        <v>7924224</v>
      </c>
      <c r="L15" s="2365">
        <f>'Příjmy kapitol celkem'!M15</f>
        <v>7559000</v>
      </c>
      <c r="M15" s="2353">
        <f t="shared" si="0"/>
        <v>-365224</v>
      </c>
      <c r="N15" s="2229"/>
    </row>
    <row r="16" spans="1:14" ht="18" customHeight="1" outlineLevel="1">
      <c r="A16" s="2357"/>
      <c r="B16" s="2358" t="s">
        <v>21</v>
      </c>
      <c r="C16" s="2359">
        <v>1341</v>
      </c>
      <c r="D16" s="2274">
        <v>260000</v>
      </c>
      <c r="E16" s="2274">
        <v>260000</v>
      </c>
      <c r="F16" s="2274">
        <v>260000</v>
      </c>
      <c r="G16" s="2274">
        <v>260000</v>
      </c>
      <c r="H16" s="2274">
        <v>260000</v>
      </c>
      <c r="I16" s="2274">
        <v>260000</v>
      </c>
      <c r="J16" s="2274">
        <v>260000</v>
      </c>
      <c r="K16" s="2274">
        <v>260000</v>
      </c>
      <c r="L16" s="2360">
        <f>'Příjmy kapitol celkem'!M16</f>
        <v>389000</v>
      </c>
      <c r="M16" s="2353">
        <f t="shared" si="0"/>
        <v>129000</v>
      </c>
      <c r="N16" s="2229"/>
    </row>
    <row r="17" spans="1:14" ht="18" customHeight="1" outlineLevel="1">
      <c r="A17" s="2357"/>
      <c r="B17" s="2358" t="s">
        <v>2949</v>
      </c>
      <c r="C17" s="2359">
        <v>1342</v>
      </c>
      <c r="D17" s="2274"/>
      <c r="E17" s="2274"/>
      <c r="F17" s="2274"/>
      <c r="G17" s="2274"/>
      <c r="H17" s="2274"/>
      <c r="I17" s="2274"/>
      <c r="J17" s="2274"/>
      <c r="K17" s="2274"/>
      <c r="L17" s="2360">
        <f>+'Příjmy kapitol celkem'!M17</f>
        <v>6400</v>
      </c>
      <c r="M17" s="2353">
        <f t="shared" si="0"/>
        <v>6400</v>
      </c>
      <c r="N17" s="2229"/>
    </row>
    <row r="18" spans="1:14" ht="18" customHeight="1" outlineLevel="1">
      <c r="A18" s="2357"/>
      <c r="B18" s="2358" t="s">
        <v>22</v>
      </c>
      <c r="C18" s="2359">
        <v>1343</v>
      </c>
      <c r="D18" s="2274">
        <v>75000</v>
      </c>
      <c r="E18" s="2274">
        <v>75000</v>
      </c>
      <c r="F18" s="2274">
        <v>75000</v>
      </c>
      <c r="G18" s="2274">
        <v>75000</v>
      </c>
      <c r="H18" s="2274">
        <v>75000</v>
      </c>
      <c r="I18" s="2274">
        <v>75000</v>
      </c>
      <c r="J18" s="2274">
        <v>75000</v>
      </c>
      <c r="K18" s="2274">
        <v>75000</v>
      </c>
      <c r="L18" s="2360">
        <f>'Příjmy kapitol celkem'!M18</f>
        <v>92500</v>
      </c>
      <c r="M18" s="2353">
        <f t="shared" si="0"/>
        <v>17500</v>
      </c>
      <c r="N18" s="2229"/>
    </row>
    <row r="19" spans="1:14" ht="18" customHeight="1" outlineLevel="1">
      <c r="A19" s="2357"/>
      <c r="B19" s="2358" t="s">
        <v>23</v>
      </c>
      <c r="C19" s="2359">
        <v>1344</v>
      </c>
      <c r="D19" s="2274">
        <v>3000</v>
      </c>
      <c r="E19" s="2274">
        <v>3000</v>
      </c>
      <c r="F19" s="2274">
        <v>3000</v>
      </c>
      <c r="G19" s="2274">
        <v>3000</v>
      </c>
      <c r="H19" s="2274">
        <v>3000</v>
      </c>
      <c r="I19" s="2274">
        <v>3000</v>
      </c>
      <c r="J19" s="2274">
        <v>3000</v>
      </c>
      <c r="K19" s="2274">
        <v>3000</v>
      </c>
      <c r="L19" s="2360">
        <f>'Příjmy kapitol celkem'!M19</f>
        <v>0</v>
      </c>
      <c r="M19" s="2353">
        <f t="shared" si="0"/>
        <v>-3000</v>
      </c>
      <c r="N19" s="2229"/>
    </row>
    <row r="20" spans="1:14" ht="18" customHeight="1" outlineLevel="1">
      <c r="A20" s="2357"/>
      <c r="B20" s="2358" t="s">
        <v>24</v>
      </c>
      <c r="C20" s="2359">
        <v>1345</v>
      </c>
      <c r="D20" s="2274">
        <v>20000</v>
      </c>
      <c r="E20" s="2274">
        <v>20000</v>
      </c>
      <c r="F20" s="2274">
        <v>20000</v>
      </c>
      <c r="G20" s="2274">
        <v>20000</v>
      </c>
      <c r="H20" s="2274">
        <v>20000</v>
      </c>
      <c r="I20" s="2274">
        <v>20000</v>
      </c>
      <c r="J20" s="2274">
        <v>20000</v>
      </c>
      <c r="K20" s="2274">
        <v>20000</v>
      </c>
      <c r="L20" s="2360">
        <f>'Příjmy kapitol celkem'!M20</f>
        <v>0</v>
      </c>
      <c r="M20" s="2353">
        <f t="shared" si="0"/>
        <v>-20000</v>
      </c>
      <c r="N20" s="2229"/>
    </row>
    <row r="21" spans="1:14" ht="18" customHeight="1" outlineLevel="1">
      <c r="A21" s="2357"/>
      <c r="B21" s="2358" t="s">
        <v>25</v>
      </c>
      <c r="C21" s="2359">
        <v>1347</v>
      </c>
      <c r="D21" s="2274">
        <v>0</v>
      </c>
      <c r="E21" s="2274">
        <v>0</v>
      </c>
      <c r="F21" s="2274">
        <v>0</v>
      </c>
      <c r="G21" s="2274">
        <v>0</v>
      </c>
      <c r="H21" s="2274">
        <v>0</v>
      </c>
      <c r="I21" s="2274">
        <v>0</v>
      </c>
      <c r="J21" s="2274">
        <v>0</v>
      </c>
      <c r="K21" s="2274">
        <v>0</v>
      </c>
      <c r="L21" s="2360">
        <f>'Příjmy kapitol celkem'!M21</f>
        <v>0</v>
      </c>
      <c r="M21" s="2353">
        <f t="shared" si="0"/>
        <v>0</v>
      </c>
      <c r="N21" s="2229"/>
    </row>
    <row r="22" spans="1:14" ht="18" customHeight="1" outlineLevel="1">
      <c r="A22" s="2357"/>
      <c r="B22" s="2358" t="s">
        <v>27</v>
      </c>
      <c r="C22" s="2359" t="s">
        <v>26</v>
      </c>
      <c r="D22" s="2274">
        <v>2500000</v>
      </c>
      <c r="E22" s="2274">
        <v>2520000</v>
      </c>
      <c r="F22" s="2274">
        <v>2520000</v>
      </c>
      <c r="G22" s="2274">
        <v>2520000</v>
      </c>
      <c r="H22" s="2274">
        <v>2520000</v>
      </c>
      <c r="I22" s="2274">
        <v>2520000</v>
      </c>
      <c r="J22" s="2274">
        <v>2520000</v>
      </c>
      <c r="K22" s="2274">
        <v>2520000</v>
      </c>
      <c r="L22" s="2360">
        <f>'Příjmy kapitol celkem'!M22</f>
        <v>4120000</v>
      </c>
      <c r="M22" s="2353">
        <f t="shared" si="0"/>
        <v>1600000</v>
      </c>
      <c r="N22" s="2229"/>
    </row>
    <row r="23" spans="1:14" s="2366" customFormat="1" ht="28.9" outlineLevel="1">
      <c r="A23" s="2361"/>
      <c r="B23" s="2367" t="s">
        <v>480</v>
      </c>
      <c r="C23" s="2359">
        <v>1348</v>
      </c>
      <c r="D23" s="2274">
        <v>5000000</v>
      </c>
      <c r="E23" s="2274"/>
      <c r="F23" s="2274">
        <v>13080000</v>
      </c>
      <c r="G23" s="2274">
        <v>13080000</v>
      </c>
      <c r="H23" s="2274">
        <v>13080000</v>
      </c>
      <c r="I23" s="2274">
        <v>13080000</v>
      </c>
      <c r="J23" s="2274">
        <v>13080000</v>
      </c>
      <c r="K23" s="2274">
        <v>13050000</v>
      </c>
      <c r="L23" s="2360">
        <v>13050000</v>
      </c>
      <c r="M23" s="2353">
        <f t="shared" si="0"/>
        <v>0</v>
      </c>
      <c r="N23" s="2229"/>
    </row>
    <row r="24" spans="1:14" s="2366" customFormat="1" outlineLevel="1">
      <c r="A24" s="2361"/>
      <c r="B24" s="2367" t="s">
        <v>2872</v>
      </c>
      <c r="C24" s="2359">
        <v>1386</v>
      </c>
      <c r="D24" s="2274"/>
      <c r="E24" s="2274">
        <v>0</v>
      </c>
      <c r="F24" s="2274">
        <v>0</v>
      </c>
      <c r="G24" s="2274">
        <v>0</v>
      </c>
      <c r="H24" s="2274">
        <v>0</v>
      </c>
      <c r="I24" s="2274">
        <v>0</v>
      </c>
      <c r="J24" s="2274">
        <v>0</v>
      </c>
      <c r="K24" s="2274">
        <v>1141000</v>
      </c>
      <c r="L24" s="2360">
        <v>1504000</v>
      </c>
      <c r="M24" s="2353">
        <f t="shared" si="0"/>
        <v>363000</v>
      </c>
      <c r="N24" s="2229"/>
    </row>
    <row r="25" spans="1:14" s="2366" customFormat="1" outlineLevel="1">
      <c r="A25" s="2361"/>
      <c r="B25" s="2367" t="s">
        <v>2873</v>
      </c>
      <c r="C25" s="2359">
        <v>1387</v>
      </c>
      <c r="D25" s="2274">
        <v>1000000</v>
      </c>
      <c r="E25" s="2274">
        <v>0</v>
      </c>
      <c r="F25" s="2274">
        <v>0</v>
      </c>
      <c r="G25" s="2274">
        <v>0</v>
      </c>
      <c r="H25" s="2274">
        <v>0</v>
      </c>
      <c r="I25" s="2274">
        <v>0</v>
      </c>
      <c r="J25" s="2274">
        <v>0</v>
      </c>
      <c r="K25" s="2274">
        <v>451000</v>
      </c>
      <c r="L25" s="2360">
        <v>590000</v>
      </c>
      <c r="M25" s="2353">
        <f t="shared" si="0"/>
        <v>139000</v>
      </c>
      <c r="N25" s="2229"/>
    </row>
    <row r="26" spans="1:14" s="2366" customFormat="1" outlineLevel="1">
      <c r="A26" s="2361"/>
      <c r="B26" s="2358" t="s">
        <v>30</v>
      </c>
      <c r="C26" s="2359" t="s">
        <v>29</v>
      </c>
      <c r="D26" s="2274">
        <v>1500000</v>
      </c>
      <c r="E26" s="2274">
        <v>500000</v>
      </c>
      <c r="F26" s="2274">
        <v>500000</v>
      </c>
      <c r="G26" s="2274">
        <v>500000</v>
      </c>
      <c r="H26" s="2274">
        <v>500000</v>
      </c>
      <c r="I26" s="2274">
        <v>500000</v>
      </c>
      <c r="J26" s="2274">
        <v>500000</v>
      </c>
      <c r="K26" s="2274">
        <v>1110000</v>
      </c>
      <c r="L26" s="2360">
        <v>1200000</v>
      </c>
      <c r="M26" s="2353">
        <f t="shared" si="0"/>
        <v>90000</v>
      </c>
      <c r="N26" s="2229"/>
    </row>
    <row r="27" spans="1:14" s="2366" customFormat="1" ht="18" customHeight="1" outlineLevel="1">
      <c r="A27" s="2361"/>
      <c r="B27" s="2354" t="s">
        <v>31</v>
      </c>
      <c r="C27" s="2355">
        <v>1511</v>
      </c>
      <c r="D27" s="2213">
        <v>7810000</v>
      </c>
      <c r="E27" s="2213">
        <v>11193800</v>
      </c>
      <c r="F27" s="2213">
        <v>13790901</v>
      </c>
      <c r="G27" s="2213">
        <v>13790901</v>
      </c>
      <c r="H27" s="2213">
        <v>13790901</v>
      </c>
      <c r="I27" s="2213">
        <v>13790901</v>
      </c>
      <c r="J27" s="2213">
        <v>13790901</v>
      </c>
      <c r="K27" s="2213">
        <v>13790901</v>
      </c>
      <c r="L27" s="2356">
        <f>'Příjmy kapitol celkem'!M27</f>
        <v>14190000</v>
      </c>
      <c r="M27" s="2353">
        <f t="shared" si="0"/>
        <v>399099</v>
      </c>
      <c r="N27" s="2229"/>
    </row>
    <row r="28" spans="1:14" s="2366" customFormat="1" ht="18" customHeight="1" outlineLevel="1">
      <c r="A28" s="2361"/>
      <c r="B28" s="2354"/>
      <c r="C28" s="2368"/>
      <c r="D28" s="2244"/>
      <c r="E28" s="2244"/>
      <c r="F28" s="2244"/>
      <c r="G28" s="2244"/>
      <c r="H28" s="2244"/>
      <c r="I28" s="2244"/>
      <c r="J28" s="2244"/>
      <c r="K28" s="2244"/>
      <c r="L28" s="2369"/>
      <c r="M28" s="2353">
        <f t="shared" si="0"/>
        <v>0</v>
      </c>
      <c r="N28" s="2229"/>
    </row>
    <row r="29" spans="1:14" ht="13.5" customHeight="1">
      <c r="A29" s="2357"/>
      <c r="B29" s="2370"/>
      <c r="C29" s="2371"/>
      <c r="D29" s="2372"/>
      <c r="E29" s="2372"/>
      <c r="F29" s="2372"/>
      <c r="G29" s="2372"/>
      <c r="H29" s="2372"/>
      <c r="I29" s="2372"/>
      <c r="J29" s="2372"/>
      <c r="K29" s="2372"/>
      <c r="L29" s="2373"/>
      <c r="M29" s="2353">
        <f t="shared" si="0"/>
        <v>0</v>
      </c>
      <c r="N29" s="2229"/>
    </row>
    <row r="30" spans="1:14" s="2234" customFormat="1" ht="15" thickBot="1">
      <c r="A30" s="2374" t="s">
        <v>223</v>
      </c>
      <c r="B30" s="2375" t="s">
        <v>224</v>
      </c>
      <c r="C30" s="2376"/>
      <c r="D30" s="2377">
        <v>28952967</v>
      </c>
      <c r="E30" s="2377">
        <v>28231954</v>
      </c>
      <c r="F30" s="2377">
        <v>30465922</v>
      </c>
      <c r="G30" s="2377">
        <v>30743135</v>
      </c>
      <c r="H30" s="2377">
        <v>30743135</v>
      </c>
      <c r="I30" s="2377">
        <v>30997235</v>
      </c>
      <c r="J30" s="2377">
        <v>30997235</v>
      </c>
      <c r="K30" s="2377">
        <v>30997235</v>
      </c>
      <c r="L30" s="2378">
        <f>SUM(L31:L86)</f>
        <v>32560500</v>
      </c>
      <c r="M30" s="2353">
        <f t="shared" si="0"/>
        <v>1563265</v>
      </c>
      <c r="N30" s="2229"/>
    </row>
    <row r="31" spans="1:14" ht="16.5" customHeight="1" outlineLevel="1" thickTop="1">
      <c r="A31" s="2357"/>
      <c r="B31" s="2379" t="s">
        <v>33</v>
      </c>
      <c r="C31" s="2380" t="s">
        <v>32</v>
      </c>
      <c r="D31" s="2381">
        <v>0</v>
      </c>
      <c r="E31" s="2381">
        <v>0</v>
      </c>
      <c r="F31" s="2381">
        <v>0</v>
      </c>
      <c r="G31" s="2381">
        <v>0</v>
      </c>
      <c r="H31" s="2381">
        <v>0</v>
      </c>
      <c r="I31" s="2381">
        <v>0</v>
      </c>
      <c r="J31" s="2381">
        <v>0</v>
      </c>
      <c r="K31" s="2381">
        <v>0</v>
      </c>
      <c r="L31" s="2382">
        <f>'Příjmy kapitol celkem'!M28</f>
        <v>0</v>
      </c>
      <c r="M31" s="2353">
        <f t="shared" si="0"/>
        <v>0</v>
      </c>
      <c r="N31" s="2234"/>
    </row>
    <row r="32" spans="1:14" ht="17.25" customHeight="1" outlineLevel="1">
      <c r="A32" s="2357"/>
      <c r="B32" s="2383" t="s">
        <v>1523</v>
      </c>
      <c r="C32" s="2384">
        <v>2111</v>
      </c>
      <c r="D32" s="2385">
        <v>21950</v>
      </c>
      <c r="E32" s="2385">
        <v>21950</v>
      </c>
      <c r="F32" s="2385">
        <v>21950</v>
      </c>
      <c r="G32" s="2385">
        <v>21950</v>
      </c>
      <c r="H32" s="2385">
        <v>21950</v>
      </c>
      <c r="I32" s="2385">
        <v>21950</v>
      </c>
      <c r="J32" s="2385">
        <v>21950</v>
      </c>
      <c r="K32" s="2385">
        <v>21950</v>
      </c>
      <c r="L32" s="2386">
        <f>'Příjmy kapitol celkem'!M34</f>
        <v>26200</v>
      </c>
      <c r="M32" s="2353">
        <f t="shared" si="0"/>
        <v>4250</v>
      </c>
    </row>
    <row r="33" spans="1:14" ht="17.25" customHeight="1" outlineLevel="1">
      <c r="A33" s="2357"/>
      <c r="B33" s="2383" t="s">
        <v>1524</v>
      </c>
      <c r="C33" s="2384">
        <v>2322</v>
      </c>
      <c r="D33" s="2385">
        <v>0</v>
      </c>
      <c r="E33" s="2385">
        <v>0</v>
      </c>
      <c r="F33" s="2385">
        <v>0</v>
      </c>
      <c r="G33" s="2385">
        <v>0</v>
      </c>
      <c r="H33" s="2385">
        <v>0</v>
      </c>
      <c r="I33" s="2385">
        <v>0</v>
      </c>
      <c r="J33" s="2385">
        <v>0</v>
      </c>
      <c r="K33" s="2385">
        <v>0</v>
      </c>
      <c r="L33" s="2386">
        <f>'Příjmy kapitol celkem'!M35</f>
        <v>47000</v>
      </c>
      <c r="M33" s="2353">
        <f t="shared" si="0"/>
        <v>47000</v>
      </c>
    </row>
    <row r="34" spans="1:14" s="2291" customFormat="1" ht="17.25" customHeight="1" outlineLevel="1">
      <c r="A34" s="2349"/>
      <c r="B34" s="2354" t="s">
        <v>41</v>
      </c>
      <c r="C34" s="2355" t="s">
        <v>40</v>
      </c>
      <c r="D34" s="2213">
        <v>4806120</v>
      </c>
      <c r="E34" s="2213">
        <v>4806120</v>
      </c>
      <c r="F34" s="2213">
        <v>4806120</v>
      </c>
      <c r="G34" s="2213">
        <v>4806120</v>
      </c>
      <c r="H34" s="2213">
        <v>4806120</v>
      </c>
      <c r="I34" s="2213">
        <v>4806120</v>
      </c>
      <c r="J34" s="2213">
        <v>4806120</v>
      </c>
      <c r="K34" s="2213">
        <v>4806120</v>
      </c>
      <c r="L34" s="2356">
        <f>'Příjmy kapitol celkem'!M36</f>
        <v>4406000</v>
      </c>
      <c r="M34" s="2353">
        <f t="shared" si="0"/>
        <v>-400120</v>
      </c>
      <c r="N34" s="2167"/>
    </row>
    <row r="35" spans="1:14" s="2291" customFormat="1" ht="17.25" customHeight="1" outlineLevel="1">
      <c r="A35" s="2349"/>
      <c r="B35" s="2354" t="s">
        <v>43</v>
      </c>
      <c r="C35" s="2355" t="s">
        <v>40</v>
      </c>
      <c r="D35" s="2213">
        <v>8646660</v>
      </c>
      <c r="E35" s="2213">
        <v>8646660</v>
      </c>
      <c r="F35" s="2213">
        <v>8646660</v>
      </c>
      <c r="G35" s="2213">
        <v>8646660</v>
      </c>
      <c r="H35" s="2213">
        <v>8646660</v>
      </c>
      <c r="I35" s="2213">
        <v>8646660</v>
      </c>
      <c r="J35" s="2213">
        <v>8646660</v>
      </c>
      <c r="K35" s="2213">
        <v>8646660</v>
      </c>
      <c r="L35" s="2356">
        <f>'Příjmy kapitol celkem'!M37</f>
        <v>7927000</v>
      </c>
      <c r="M35" s="2353">
        <f t="shared" si="0"/>
        <v>-719660</v>
      </c>
    </row>
    <row r="36" spans="1:14" ht="17.25" customHeight="1" outlineLevel="1">
      <c r="A36" s="2357"/>
      <c r="B36" s="2383" t="s">
        <v>45</v>
      </c>
      <c r="C36" s="2384" t="s">
        <v>44</v>
      </c>
      <c r="D36" s="2274">
        <v>50000</v>
      </c>
      <c r="E36" s="2274">
        <v>50000</v>
      </c>
      <c r="F36" s="2274">
        <v>50000</v>
      </c>
      <c r="G36" s="2274">
        <v>50000</v>
      </c>
      <c r="H36" s="2274">
        <v>50000</v>
      </c>
      <c r="I36" s="2274">
        <v>50000</v>
      </c>
      <c r="J36" s="2274">
        <v>50000</v>
      </c>
      <c r="K36" s="2274">
        <v>50000</v>
      </c>
      <c r="L36" s="2386">
        <f>'Příjmy kapitol celkem'!M38</f>
        <v>41000</v>
      </c>
      <c r="M36" s="2353">
        <f t="shared" si="0"/>
        <v>-9000</v>
      </c>
      <c r="N36" s="2291"/>
    </row>
    <row r="37" spans="1:14" ht="17.25" customHeight="1" outlineLevel="1">
      <c r="A37" s="2357"/>
      <c r="B37" s="2383" t="s">
        <v>46</v>
      </c>
      <c r="C37" s="2384" t="s">
        <v>40</v>
      </c>
      <c r="D37" s="2385">
        <v>249000</v>
      </c>
      <c r="E37" s="2385">
        <v>249000</v>
      </c>
      <c r="F37" s="2385">
        <v>249000</v>
      </c>
      <c r="G37" s="2385">
        <v>249000</v>
      </c>
      <c r="H37" s="2385">
        <v>249000</v>
      </c>
      <c r="I37" s="2385">
        <v>249000</v>
      </c>
      <c r="J37" s="2385">
        <v>249000</v>
      </c>
      <c r="K37" s="2385">
        <v>249000</v>
      </c>
      <c r="L37" s="2386">
        <f>'Příjmy kapitol celkem'!M39</f>
        <v>233000</v>
      </c>
      <c r="M37" s="2353">
        <f t="shared" si="0"/>
        <v>-16000</v>
      </c>
    </row>
    <row r="38" spans="1:14" ht="17.25" customHeight="1" outlineLevel="1">
      <c r="A38" s="2357"/>
      <c r="B38" s="2383" t="s">
        <v>2960</v>
      </c>
      <c r="C38" s="2384">
        <v>2132</v>
      </c>
      <c r="D38" s="2385"/>
      <c r="E38" s="2385"/>
      <c r="F38" s="2385"/>
      <c r="G38" s="2385"/>
      <c r="H38" s="2385"/>
      <c r="I38" s="2385"/>
      <c r="J38" s="2385"/>
      <c r="K38" s="2385"/>
      <c r="L38" s="2386">
        <f>+'Příjmy kapitol celkem'!M40</f>
        <v>8000</v>
      </c>
      <c r="M38" s="2353">
        <f t="shared" si="0"/>
        <v>8000</v>
      </c>
    </row>
    <row r="39" spans="1:14" ht="17.25" customHeight="1" outlineLevel="1">
      <c r="A39" s="2357"/>
      <c r="B39" s="2383" t="s">
        <v>2961</v>
      </c>
      <c r="C39" s="2384">
        <v>2111</v>
      </c>
      <c r="D39" s="2385"/>
      <c r="E39" s="2385"/>
      <c r="F39" s="2385"/>
      <c r="G39" s="2385"/>
      <c r="H39" s="2385"/>
      <c r="I39" s="2385"/>
      <c r="J39" s="2385"/>
      <c r="K39" s="2385"/>
      <c r="L39" s="2386">
        <f>+'Příjmy kapitol celkem'!M41</f>
        <v>22000</v>
      </c>
      <c r="M39" s="2353">
        <f t="shared" si="0"/>
        <v>22000</v>
      </c>
    </row>
    <row r="40" spans="1:14" ht="17.25" customHeight="1" outlineLevel="1">
      <c r="A40" s="2357"/>
      <c r="B40" s="2383" t="s">
        <v>47</v>
      </c>
      <c r="C40" s="2384">
        <v>2111</v>
      </c>
      <c r="D40" s="2385">
        <v>50000</v>
      </c>
      <c r="E40" s="2385">
        <v>20000</v>
      </c>
      <c r="F40" s="2385">
        <v>20000</v>
      </c>
      <c r="G40" s="2385">
        <v>20000</v>
      </c>
      <c r="H40" s="2385">
        <v>20000</v>
      </c>
      <c r="I40" s="2385">
        <v>20000</v>
      </c>
      <c r="J40" s="2385">
        <v>20000</v>
      </c>
      <c r="K40" s="2385">
        <v>20000</v>
      </c>
      <c r="L40" s="2386">
        <f>'Příjmy kapitol celkem'!M42</f>
        <v>109000</v>
      </c>
      <c r="M40" s="2353">
        <f t="shared" si="0"/>
        <v>89000</v>
      </c>
    </row>
    <row r="41" spans="1:14" ht="17.25" hidden="1" customHeight="1" outlineLevel="1">
      <c r="A41" s="2357"/>
      <c r="B41" s="2383" t="s">
        <v>1525</v>
      </c>
      <c r="C41" s="2384">
        <v>2321</v>
      </c>
      <c r="D41" s="2385">
        <v>0</v>
      </c>
      <c r="E41" s="2385">
        <v>0</v>
      </c>
      <c r="F41" s="2385">
        <v>0</v>
      </c>
      <c r="G41" s="2385">
        <v>0</v>
      </c>
      <c r="H41" s="2385">
        <v>0</v>
      </c>
      <c r="I41" s="2385">
        <v>0</v>
      </c>
      <c r="J41" s="2385">
        <v>0</v>
      </c>
      <c r="K41" s="2385">
        <v>0</v>
      </c>
      <c r="L41" s="2386">
        <f>'Příjmy kapitol celkem'!M43</f>
        <v>0</v>
      </c>
      <c r="M41" s="2353">
        <f t="shared" si="0"/>
        <v>0</v>
      </c>
    </row>
    <row r="42" spans="1:14" ht="17.25" customHeight="1" outlineLevel="1">
      <c r="A42" s="2357"/>
      <c r="B42" s="2383" t="s">
        <v>48</v>
      </c>
      <c r="C42" s="2384">
        <v>2111</v>
      </c>
      <c r="D42" s="2385">
        <v>250000</v>
      </c>
      <c r="E42" s="2385">
        <v>250000</v>
      </c>
      <c r="F42" s="2385">
        <v>250000</v>
      </c>
      <c r="G42" s="2385">
        <v>250000</v>
      </c>
      <c r="H42" s="2385">
        <v>250000</v>
      </c>
      <c r="I42" s="2385">
        <v>250000</v>
      </c>
      <c r="J42" s="2385">
        <v>250000</v>
      </c>
      <c r="K42" s="2385">
        <v>250000</v>
      </c>
      <c r="L42" s="2386">
        <f>'Příjmy kapitol celkem'!M44</f>
        <v>302000</v>
      </c>
      <c r="M42" s="2353">
        <f t="shared" si="0"/>
        <v>52000</v>
      </c>
    </row>
    <row r="43" spans="1:14" ht="17.25" customHeight="1" outlineLevel="1">
      <c r="A43" s="2357"/>
      <c r="B43" s="2383" t="s">
        <v>49</v>
      </c>
      <c r="C43" s="2384" t="s">
        <v>44</v>
      </c>
      <c r="D43" s="2385">
        <v>70000</v>
      </c>
      <c r="E43" s="2385">
        <v>70000</v>
      </c>
      <c r="F43" s="2385">
        <v>70000</v>
      </c>
      <c r="G43" s="2385">
        <v>70000</v>
      </c>
      <c r="H43" s="2385">
        <v>70000</v>
      </c>
      <c r="I43" s="2385">
        <v>70000</v>
      </c>
      <c r="J43" s="2385">
        <v>70000</v>
      </c>
      <c r="K43" s="2385">
        <v>70000</v>
      </c>
      <c r="L43" s="2386">
        <f>'Příjmy kapitol celkem'!M45</f>
        <v>133000</v>
      </c>
      <c r="M43" s="2353">
        <f t="shared" si="0"/>
        <v>63000</v>
      </c>
    </row>
    <row r="44" spans="1:14" ht="17.25" customHeight="1" outlineLevel="1">
      <c r="A44" s="2357"/>
      <c r="B44" s="2383" t="s">
        <v>50</v>
      </c>
      <c r="C44" s="2384">
        <v>2132</v>
      </c>
      <c r="D44" s="2385">
        <v>660010</v>
      </c>
      <c r="E44" s="2385">
        <v>330005</v>
      </c>
      <c r="F44" s="2385">
        <v>330005</v>
      </c>
      <c r="G44" s="2385">
        <v>330005</v>
      </c>
      <c r="H44" s="2385">
        <v>330005</v>
      </c>
      <c r="I44" s="2385">
        <v>330005</v>
      </c>
      <c r="J44" s="2385">
        <v>330005</v>
      </c>
      <c r="K44" s="2385">
        <v>330005</v>
      </c>
      <c r="L44" s="2386">
        <f>'Příjmy kapitol celkem'!M46</f>
        <v>448000</v>
      </c>
      <c r="M44" s="2353">
        <f t="shared" si="0"/>
        <v>117995</v>
      </c>
    </row>
    <row r="45" spans="1:14" ht="17.25" customHeight="1" outlineLevel="1">
      <c r="A45" s="2357"/>
      <c r="B45" s="2383" t="s">
        <v>2827</v>
      </c>
      <c r="C45" s="2384">
        <v>3121</v>
      </c>
      <c r="D45" s="2385"/>
      <c r="E45" s="2385"/>
      <c r="F45" s="2385"/>
      <c r="G45" s="2385"/>
      <c r="H45" s="2385">
        <v>0</v>
      </c>
      <c r="I45" s="2385">
        <v>254100</v>
      </c>
      <c r="J45" s="2385">
        <v>254100</v>
      </c>
      <c r="K45" s="2385">
        <v>254100</v>
      </c>
      <c r="L45" s="2386">
        <f>+'Příjmy kapitol celkem'!M47</f>
        <v>254100</v>
      </c>
      <c r="M45" s="2353">
        <f t="shared" si="0"/>
        <v>0</v>
      </c>
    </row>
    <row r="46" spans="1:14" ht="17.25" customHeight="1" outlineLevel="1">
      <c r="A46" s="2357"/>
      <c r="B46" s="2383" t="s">
        <v>51</v>
      </c>
      <c r="C46" s="2384">
        <v>2132</v>
      </c>
      <c r="D46" s="2385">
        <v>828800</v>
      </c>
      <c r="E46" s="2385">
        <v>828800</v>
      </c>
      <c r="F46" s="2385">
        <v>983600</v>
      </c>
      <c r="G46" s="2385">
        <v>983600</v>
      </c>
      <c r="H46" s="2385">
        <v>983600</v>
      </c>
      <c r="I46" s="2385">
        <v>983600</v>
      </c>
      <c r="J46" s="2385">
        <v>983600</v>
      </c>
      <c r="K46" s="2385">
        <v>983600</v>
      </c>
      <c r="L46" s="2386">
        <f>'Příjmy kapitol celkem'!M48</f>
        <v>1060000</v>
      </c>
      <c r="M46" s="2353">
        <f t="shared" si="0"/>
        <v>76400</v>
      </c>
    </row>
    <row r="47" spans="1:14" ht="17.25" customHeight="1" outlineLevel="1">
      <c r="A47" s="2357"/>
      <c r="B47" s="2383" t="s">
        <v>52</v>
      </c>
      <c r="C47" s="2384">
        <v>2111</v>
      </c>
      <c r="D47" s="2385">
        <v>2950832</v>
      </c>
      <c r="E47" s="2385">
        <v>2950832</v>
      </c>
      <c r="F47" s="2385">
        <v>4230000</v>
      </c>
      <c r="G47" s="2385">
        <v>4230000</v>
      </c>
      <c r="H47" s="2385">
        <v>4230000</v>
      </c>
      <c r="I47" s="2385">
        <v>4230000</v>
      </c>
      <c r="J47" s="2385">
        <v>4230000</v>
      </c>
      <c r="K47" s="2385">
        <v>4230000</v>
      </c>
      <c r="L47" s="2386">
        <f>'Příjmy kapitol celkem'!M49</f>
        <v>2400000</v>
      </c>
      <c r="M47" s="2353">
        <f t="shared" si="0"/>
        <v>-1830000</v>
      </c>
    </row>
    <row r="48" spans="1:14" ht="17.25" customHeight="1" outlineLevel="1">
      <c r="A48" s="2357"/>
      <c r="B48" s="2383" t="s">
        <v>53</v>
      </c>
      <c r="C48" s="2384">
        <v>2132</v>
      </c>
      <c r="D48" s="2385">
        <v>4800000</v>
      </c>
      <c r="E48" s="2385">
        <v>4800000</v>
      </c>
      <c r="F48" s="2385">
        <v>5600000</v>
      </c>
      <c r="G48" s="2385">
        <v>5801000</v>
      </c>
      <c r="H48" s="2385">
        <v>5801000</v>
      </c>
      <c r="I48" s="2385">
        <v>5801000</v>
      </c>
      <c r="J48" s="2385">
        <v>5801000</v>
      </c>
      <c r="K48" s="2385">
        <v>5801000</v>
      </c>
      <c r="L48" s="2386">
        <f>'Příjmy kapitol celkem'!M50</f>
        <v>5801000</v>
      </c>
      <c r="M48" s="2353">
        <f t="shared" si="0"/>
        <v>0</v>
      </c>
    </row>
    <row r="49" spans="1:14" ht="17.25" hidden="1" customHeight="1" outlineLevel="1">
      <c r="A49" s="2357"/>
      <c r="B49" s="2383" t="s">
        <v>1526</v>
      </c>
      <c r="C49" s="2384">
        <v>2322</v>
      </c>
      <c r="D49" s="2385">
        <v>0</v>
      </c>
      <c r="E49" s="2385">
        <v>0</v>
      </c>
      <c r="F49" s="2385">
        <v>0</v>
      </c>
      <c r="G49" s="2385">
        <v>0</v>
      </c>
      <c r="H49" s="2385">
        <v>0</v>
      </c>
      <c r="I49" s="2385">
        <v>0</v>
      </c>
      <c r="J49" s="2385">
        <v>0</v>
      </c>
      <c r="K49" s="2385">
        <v>0</v>
      </c>
      <c r="L49" s="2386">
        <f>'Příjmy kapitol celkem'!M51</f>
        <v>0</v>
      </c>
      <c r="M49" s="2353">
        <f t="shared" si="0"/>
        <v>0</v>
      </c>
    </row>
    <row r="50" spans="1:14" ht="17.25" hidden="1" customHeight="1" outlineLevel="1">
      <c r="A50" s="2357"/>
      <c r="B50" s="2383" t="s">
        <v>1223</v>
      </c>
      <c r="C50" s="2384">
        <v>3122</v>
      </c>
      <c r="D50" s="2385">
        <v>0</v>
      </c>
      <c r="E50" s="2385">
        <v>0</v>
      </c>
      <c r="F50" s="2385">
        <v>0</v>
      </c>
      <c r="G50" s="2385">
        <v>0</v>
      </c>
      <c r="H50" s="2385">
        <v>0</v>
      </c>
      <c r="I50" s="2385">
        <v>0</v>
      </c>
      <c r="J50" s="2385">
        <v>0</v>
      </c>
      <c r="K50" s="2385">
        <v>0</v>
      </c>
      <c r="L50" s="2386">
        <f>'Příjmy kapitol celkem'!M52</f>
        <v>0</v>
      </c>
      <c r="M50" s="2353">
        <f t="shared" si="0"/>
        <v>0</v>
      </c>
    </row>
    <row r="51" spans="1:14" ht="17.25" customHeight="1" outlineLevel="1">
      <c r="A51" s="2357"/>
      <c r="B51" s="2383" t="s">
        <v>54</v>
      </c>
      <c r="C51" s="2384" t="s">
        <v>44</v>
      </c>
      <c r="D51" s="2385">
        <v>81000</v>
      </c>
      <c r="E51" s="2385">
        <v>81000</v>
      </c>
      <c r="F51" s="2385">
        <v>81000</v>
      </c>
      <c r="G51" s="2385">
        <v>81000</v>
      </c>
      <c r="H51" s="2385">
        <v>81000</v>
      </c>
      <c r="I51" s="2385">
        <v>81000</v>
      </c>
      <c r="J51" s="2385">
        <v>81000</v>
      </c>
      <c r="K51" s="2385">
        <v>81000</v>
      </c>
      <c r="L51" s="2386">
        <v>322000</v>
      </c>
      <c r="M51" s="2353">
        <f t="shared" si="0"/>
        <v>241000</v>
      </c>
    </row>
    <row r="52" spans="1:14" ht="17.25" customHeight="1" outlineLevel="1">
      <c r="A52" s="2357"/>
      <c r="B52" s="2383" t="s">
        <v>2560</v>
      </c>
      <c r="C52" s="2384">
        <v>2132</v>
      </c>
      <c r="D52" s="2385"/>
      <c r="E52" s="2385">
        <v>231792</v>
      </c>
      <c r="F52" s="2385">
        <v>231792</v>
      </c>
      <c r="G52" s="2385">
        <v>231792</v>
      </c>
      <c r="H52" s="2385">
        <v>231792</v>
      </c>
      <c r="I52" s="2385">
        <v>231792</v>
      </c>
      <c r="J52" s="2385">
        <v>231792</v>
      </c>
      <c r="K52" s="2385">
        <v>231792</v>
      </c>
      <c r="L52" s="2386">
        <f>+'Příjmy kapitol celkem'!M54</f>
        <v>231792</v>
      </c>
      <c r="M52" s="2353">
        <f t="shared" si="0"/>
        <v>0</v>
      </c>
    </row>
    <row r="53" spans="1:14" ht="17.25" customHeight="1" outlineLevel="1">
      <c r="A53" s="2357"/>
      <c r="B53" s="2383" t="s">
        <v>503</v>
      </c>
      <c r="C53" s="2384">
        <v>2132</v>
      </c>
      <c r="D53" s="2385">
        <v>179395</v>
      </c>
      <c r="E53" s="2385">
        <v>179395</v>
      </c>
      <c r="F53" s="2385">
        <v>179395</v>
      </c>
      <c r="G53" s="2385">
        <v>179395</v>
      </c>
      <c r="H53" s="2385">
        <v>179395</v>
      </c>
      <c r="I53" s="2385">
        <v>179395</v>
      </c>
      <c r="J53" s="2385">
        <v>179395</v>
      </c>
      <c r="K53" s="2385">
        <v>179395</v>
      </c>
      <c r="L53" s="2386">
        <f>'Příjmy kapitol celkem'!M55</f>
        <v>179395</v>
      </c>
      <c r="M53" s="2353">
        <f t="shared" si="0"/>
        <v>0</v>
      </c>
    </row>
    <row r="54" spans="1:14" ht="17.25" customHeight="1" outlineLevel="1">
      <c r="A54" s="2357"/>
      <c r="B54" s="2383" t="s">
        <v>740</v>
      </c>
      <c r="C54" s="2384">
        <v>2111</v>
      </c>
      <c r="D54" s="2385">
        <v>78000</v>
      </c>
      <c r="E54" s="2385">
        <v>78000</v>
      </c>
      <c r="F54" s="2385">
        <v>78000</v>
      </c>
      <c r="G54" s="2385">
        <v>78000</v>
      </c>
      <c r="H54" s="2385">
        <v>78000</v>
      </c>
      <c r="I54" s="2385">
        <v>78000</v>
      </c>
      <c r="J54" s="2385">
        <v>78000</v>
      </c>
      <c r="K54" s="2385">
        <v>78000</v>
      </c>
      <c r="L54" s="2386">
        <f>'Příjmy kapitol celkem'!M56</f>
        <v>78000</v>
      </c>
      <c r="M54" s="2353">
        <f t="shared" si="0"/>
        <v>0</v>
      </c>
    </row>
    <row r="55" spans="1:14" ht="17.25" customHeight="1" outlineLevel="1">
      <c r="A55" s="2357"/>
      <c r="B55" s="2383" t="s">
        <v>1526</v>
      </c>
      <c r="C55" s="2384">
        <v>2322</v>
      </c>
      <c r="D55" s="2385"/>
      <c r="E55" s="2385"/>
      <c r="F55" s="2385"/>
      <c r="G55" s="2385"/>
      <c r="H55" s="2385"/>
      <c r="I55" s="2385"/>
      <c r="J55" s="2385"/>
      <c r="K55" s="2385"/>
      <c r="L55" s="2386">
        <f>+'Příjmy kapitol celkem'!M57</f>
        <v>13000</v>
      </c>
      <c r="M55" s="2353">
        <f t="shared" si="0"/>
        <v>13000</v>
      </c>
    </row>
    <row r="56" spans="1:14" ht="17.25" customHeight="1" outlineLevel="1">
      <c r="A56" s="2357"/>
      <c r="B56" s="2383" t="s">
        <v>2962</v>
      </c>
      <c r="C56" s="2384">
        <v>3113</v>
      </c>
      <c r="D56" s="2385"/>
      <c r="E56" s="2385"/>
      <c r="F56" s="2385"/>
      <c r="G56" s="2385"/>
      <c r="H56" s="2385"/>
      <c r="I56" s="2385"/>
      <c r="J56" s="2385"/>
      <c r="K56" s="2385"/>
      <c r="L56" s="2386">
        <f>+'Příjmy kapitol celkem'!M58</f>
        <v>3500</v>
      </c>
      <c r="M56" s="2353">
        <f t="shared" si="0"/>
        <v>3500</v>
      </c>
    </row>
    <row r="57" spans="1:14" ht="17.25" customHeight="1" outlineLevel="1">
      <c r="A57" s="2357"/>
      <c r="B57" s="2383" t="s">
        <v>55</v>
      </c>
      <c r="C57" s="2384">
        <v>2132</v>
      </c>
      <c r="D57" s="2385">
        <v>400000</v>
      </c>
      <c r="E57" s="2385">
        <v>400000</v>
      </c>
      <c r="F57" s="2385">
        <v>400000</v>
      </c>
      <c r="G57" s="2385">
        <v>400000</v>
      </c>
      <c r="H57" s="2385">
        <v>400000</v>
      </c>
      <c r="I57" s="2385">
        <v>400000</v>
      </c>
      <c r="J57" s="2385">
        <v>400000</v>
      </c>
      <c r="K57" s="2385">
        <v>400000</v>
      </c>
      <c r="L57" s="2386">
        <f>'Příjmy kapitol celkem'!M59</f>
        <v>648813</v>
      </c>
      <c r="M57" s="2353">
        <f t="shared" si="0"/>
        <v>248813</v>
      </c>
    </row>
    <row r="58" spans="1:14" ht="17.25" customHeight="1" outlineLevel="1">
      <c r="A58" s="2357"/>
      <c r="B58" s="2383" t="s">
        <v>1226</v>
      </c>
      <c r="C58" s="2384">
        <v>2212</v>
      </c>
      <c r="D58" s="2385"/>
      <c r="E58" s="2385"/>
      <c r="F58" s="2385"/>
      <c r="G58" s="2385"/>
      <c r="H58" s="2385"/>
      <c r="I58" s="2385"/>
      <c r="J58" s="2385"/>
      <c r="K58" s="2385"/>
      <c r="L58" s="2386">
        <f>+'Příjmy kapitol celkem'!M60</f>
        <v>372000</v>
      </c>
      <c r="M58" s="2353">
        <f t="shared" si="0"/>
        <v>372000</v>
      </c>
    </row>
    <row r="59" spans="1:14" ht="17.25" customHeight="1" outlineLevel="1">
      <c r="A59" s="2357"/>
      <c r="B59" s="2383" t="s">
        <v>488</v>
      </c>
      <c r="C59" s="2384">
        <v>2132</v>
      </c>
      <c r="D59" s="2385">
        <v>1063000</v>
      </c>
      <c r="E59" s="2385">
        <v>1063000</v>
      </c>
      <c r="F59" s="2385">
        <v>1063000</v>
      </c>
      <c r="G59" s="2385">
        <v>1063000</v>
      </c>
      <c r="H59" s="2385">
        <v>1063000</v>
      </c>
      <c r="I59" s="2385">
        <v>1063000</v>
      </c>
      <c r="J59" s="2385">
        <v>1063000</v>
      </c>
      <c r="K59" s="2385">
        <v>1063000</v>
      </c>
      <c r="L59" s="2386">
        <f>'Příjmy kapitol celkem'!M61</f>
        <v>1340000</v>
      </c>
      <c r="M59" s="2353">
        <f t="shared" si="0"/>
        <v>277000</v>
      </c>
    </row>
    <row r="60" spans="1:14" ht="17.25" customHeight="1" outlineLevel="1">
      <c r="A60" s="2357"/>
      <c r="B60" s="2383" t="s">
        <v>2966</v>
      </c>
      <c r="C60" s="2384">
        <v>2111</v>
      </c>
      <c r="D60" s="2385"/>
      <c r="E60" s="2385"/>
      <c r="F60" s="2385"/>
      <c r="G60" s="2385"/>
      <c r="H60" s="2385"/>
      <c r="I60" s="2385"/>
      <c r="J60" s="2385"/>
      <c r="K60" s="2385"/>
      <c r="L60" s="2386">
        <f>+'Příjmy kapitol celkem'!M62</f>
        <v>20000</v>
      </c>
      <c r="M60" s="2353">
        <f t="shared" si="0"/>
        <v>20000</v>
      </c>
    </row>
    <row r="61" spans="1:14" ht="17.25" customHeight="1" outlineLevel="1">
      <c r="A61" s="2357"/>
      <c r="B61" s="2383" t="s">
        <v>1526</v>
      </c>
      <c r="C61" s="2384">
        <v>2322</v>
      </c>
      <c r="D61" s="2385"/>
      <c r="E61" s="2385"/>
      <c r="F61" s="2385"/>
      <c r="G61" s="2385"/>
      <c r="H61" s="2385"/>
      <c r="I61" s="2385"/>
      <c r="J61" s="2385"/>
      <c r="K61" s="2385"/>
      <c r="L61" s="2386">
        <f>+'Příjmy kapitol celkem'!M63</f>
        <v>36000</v>
      </c>
      <c r="M61" s="2353">
        <f t="shared" si="0"/>
        <v>36000</v>
      </c>
    </row>
    <row r="62" spans="1:14" s="2366" customFormat="1" ht="17.25" customHeight="1" outlineLevel="1">
      <c r="A62" s="2361"/>
      <c r="B62" s="2358" t="s">
        <v>56</v>
      </c>
      <c r="C62" s="2359">
        <v>2111</v>
      </c>
      <c r="D62" s="2385">
        <v>250000</v>
      </c>
      <c r="E62" s="2385">
        <v>250000</v>
      </c>
      <c r="F62" s="2385">
        <v>250000</v>
      </c>
      <c r="G62" s="2385">
        <v>250000</v>
      </c>
      <c r="H62" s="2385">
        <v>250000</v>
      </c>
      <c r="I62" s="2385">
        <v>250000</v>
      </c>
      <c r="J62" s="2385">
        <v>250000</v>
      </c>
      <c r="K62" s="2385">
        <v>250000</v>
      </c>
      <c r="L62" s="2386">
        <f>'Příjmy kapitol celkem'!M64</f>
        <v>403000</v>
      </c>
      <c r="M62" s="2353">
        <f t="shared" si="0"/>
        <v>153000</v>
      </c>
      <c r="N62" s="2167"/>
    </row>
    <row r="63" spans="1:14" s="2366" customFormat="1" ht="17.25" hidden="1" customHeight="1" outlineLevel="1">
      <c r="A63" s="2361"/>
      <c r="B63" s="2358" t="s">
        <v>1527</v>
      </c>
      <c r="C63" s="2359">
        <v>2321</v>
      </c>
      <c r="D63" s="2385">
        <v>300000</v>
      </c>
      <c r="E63" s="2385">
        <v>0</v>
      </c>
      <c r="F63" s="2385">
        <v>0</v>
      </c>
      <c r="G63" s="2385">
        <v>0</v>
      </c>
      <c r="H63" s="2385">
        <v>0</v>
      </c>
      <c r="I63" s="2385">
        <v>0</v>
      </c>
      <c r="J63" s="2385">
        <v>0</v>
      </c>
      <c r="K63" s="2385">
        <v>0</v>
      </c>
      <c r="L63" s="2386">
        <f>'Příjmy kapitol celkem'!M65</f>
        <v>0</v>
      </c>
      <c r="M63" s="2353">
        <f t="shared" si="0"/>
        <v>0</v>
      </c>
    </row>
    <row r="64" spans="1:14" s="2366" customFormat="1" ht="17.25" customHeight="1" outlineLevel="1">
      <c r="A64" s="2361"/>
      <c r="B64" s="2358" t="s">
        <v>1526</v>
      </c>
      <c r="C64" s="2359">
        <v>2322</v>
      </c>
      <c r="D64" s="2385">
        <v>0</v>
      </c>
      <c r="E64" s="2385">
        <v>0</v>
      </c>
      <c r="F64" s="2385">
        <v>0</v>
      </c>
      <c r="G64" s="2385">
        <v>0</v>
      </c>
      <c r="H64" s="2385">
        <v>0</v>
      </c>
      <c r="I64" s="2385">
        <v>0</v>
      </c>
      <c r="J64" s="2385">
        <v>0</v>
      </c>
      <c r="K64" s="2385">
        <v>0</v>
      </c>
      <c r="L64" s="2386">
        <f>'Příjmy kapitol celkem'!M66</f>
        <v>745000</v>
      </c>
      <c r="M64" s="2353">
        <f t="shared" si="0"/>
        <v>745000</v>
      </c>
    </row>
    <row r="65" spans="1:14" ht="17.25" customHeight="1" outlineLevel="1">
      <c r="A65" s="2357"/>
      <c r="B65" s="2383" t="s">
        <v>958</v>
      </c>
      <c r="C65" s="2384" t="s">
        <v>44</v>
      </c>
      <c r="D65" s="2385">
        <v>1950000</v>
      </c>
      <c r="E65" s="2385">
        <v>1950000</v>
      </c>
      <c r="F65" s="2385">
        <v>1950000</v>
      </c>
      <c r="G65" s="2385">
        <v>1950000</v>
      </c>
      <c r="H65" s="2385">
        <v>1950000</v>
      </c>
      <c r="I65" s="2385">
        <v>1950000</v>
      </c>
      <c r="J65" s="2385">
        <v>1950000</v>
      </c>
      <c r="K65" s="2385">
        <v>1950000</v>
      </c>
      <c r="L65" s="2386">
        <f>'Příjmy kapitol celkem'!M67</f>
        <v>3090000</v>
      </c>
      <c r="M65" s="2353">
        <f t="shared" si="0"/>
        <v>1140000</v>
      </c>
      <c r="N65" s="2366"/>
    </row>
    <row r="66" spans="1:14" ht="17.25" customHeight="1" outlineLevel="1">
      <c r="A66" s="2357"/>
      <c r="B66" s="2383" t="s">
        <v>477</v>
      </c>
      <c r="C66" s="2384" t="s">
        <v>44</v>
      </c>
      <c r="D66" s="2385">
        <v>600000</v>
      </c>
      <c r="E66" s="2385">
        <v>600000</v>
      </c>
      <c r="F66" s="2385">
        <v>600000</v>
      </c>
      <c r="G66" s="2385">
        <v>600000</v>
      </c>
      <c r="H66" s="2385">
        <v>600000</v>
      </c>
      <c r="I66" s="2385">
        <v>600000</v>
      </c>
      <c r="J66" s="2385">
        <v>600000</v>
      </c>
      <c r="K66" s="2385">
        <v>600000</v>
      </c>
      <c r="L66" s="2386">
        <f>'Příjmy kapitol celkem'!M68</f>
        <v>741000</v>
      </c>
      <c r="M66" s="2353">
        <f t="shared" si="0"/>
        <v>141000</v>
      </c>
    </row>
    <row r="67" spans="1:14" ht="17.25" customHeight="1" outlineLevel="1">
      <c r="A67" s="2357"/>
      <c r="B67" s="2383" t="s">
        <v>741</v>
      </c>
      <c r="C67" s="2384">
        <v>2111</v>
      </c>
      <c r="D67" s="2385">
        <v>20000</v>
      </c>
      <c r="E67" s="2385">
        <v>20000</v>
      </c>
      <c r="F67" s="2385">
        <v>20000</v>
      </c>
      <c r="G67" s="2385">
        <v>20000</v>
      </c>
      <c r="H67" s="2385">
        <v>20000</v>
      </c>
      <c r="I67" s="2385">
        <v>20000</v>
      </c>
      <c r="J67" s="2385">
        <v>20000</v>
      </c>
      <c r="K67" s="2385">
        <v>20000</v>
      </c>
      <c r="L67" s="2386">
        <f>'Příjmy kapitol celkem'!M69</f>
        <v>11000</v>
      </c>
      <c r="M67" s="2353">
        <f t="shared" si="0"/>
        <v>-9000</v>
      </c>
    </row>
    <row r="68" spans="1:14" ht="17.25" customHeight="1" outlineLevel="1">
      <c r="A68" s="2357"/>
      <c r="B68" s="2383" t="s">
        <v>2060</v>
      </c>
      <c r="C68" s="2384">
        <v>2324</v>
      </c>
      <c r="D68" s="2385">
        <v>0</v>
      </c>
      <c r="E68" s="2385">
        <v>0</v>
      </c>
      <c r="F68" s="2385">
        <v>0</v>
      </c>
      <c r="G68" s="2385">
        <v>0</v>
      </c>
      <c r="H68" s="2385">
        <v>0</v>
      </c>
      <c r="I68" s="2385">
        <v>0</v>
      </c>
      <c r="J68" s="2385">
        <v>0</v>
      </c>
      <c r="K68" s="2385">
        <v>0</v>
      </c>
      <c r="L68" s="2386">
        <f>'Příjmy kapitol celkem'!M70</f>
        <v>59000</v>
      </c>
      <c r="M68" s="2353">
        <f t="shared" si="0"/>
        <v>59000</v>
      </c>
    </row>
    <row r="69" spans="1:14" ht="17.25" hidden="1" customHeight="1" outlineLevel="1">
      <c r="A69" s="2357"/>
      <c r="B69" s="2383" t="s">
        <v>1498</v>
      </c>
      <c r="C69" s="2384">
        <v>2321</v>
      </c>
      <c r="D69" s="2385">
        <v>0</v>
      </c>
      <c r="E69" s="2385">
        <v>0</v>
      </c>
      <c r="F69" s="2385">
        <v>0</v>
      </c>
      <c r="G69" s="2385">
        <v>0</v>
      </c>
      <c r="H69" s="2385">
        <v>0</v>
      </c>
      <c r="I69" s="2385">
        <v>0</v>
      </c>
      <c r="J69" s="2385">
        <v>0</v>
      </c>
      <c r="K69" s="2385">
        <v>0</v>
      </c>
      <c r="L69" s="2386">
        <f>'Příjmy kapitol celkem'!M72</f>
        <v>0</v>
      </c>
      <c r="M69" s="2353">
        <f t="shared" si="0"/>
        <v>0</v>
      </c>
    </row>
    <row r="70" spans="1:14" ht="17.25" hidden="1" customHeight="1" outlineLevel="1">
      <c r="A70" s="2357"/>
      <c r="B70" s="2383" t="s">
        <v>2102</v>
      </c>
      <c r="C70" s="2384">
        <v>2324</v>
      </c>
      <c r="D70" s="2385">
        <v>292800</v>
      </c>
      <c r="E70" s="2385">
        <v>0</v>
      </c>
      <c r="F70" s="2385">
        <v>0</v>
      </c>
      <c r="G70" s="2385">
        <v>0</v>
      </c>
      <c r="H70" s="2385">
        <v>0</v>
      </c>
      <c r="I70" s="2385">
        <v>0</v>
      </c>
      <c r="J70" s="2385">
        <v>0</v>
      </c>
      <c r="K70" s="2385">
        <v>0</v>
      </c>
      <c r="L70" s="2386">
        <f>'Příjmy kapitol celkem'!M71</f>
        <v>0</v>
      </c>
      <c r="M70" s="2353">
        <f t="shared" si="0"/>
        <v>0</v>
      </c>
    </row>
    <row r="71" spans="1:14" ht="17.25" customHeight="1" outlineLevel="1">
      <c r="A71" s="2357"/>
      <c r="B71" s="2383" t="s">
        <v>742</v>
      </c>
      <c r="C71" s="2384">
        <v>2132</v>
      </c>
      <c r="D71" s="2385">
        <v>24000</v>
      </c>
      <c r="E71" s="2385">
        <v>24000</v>
      </c>
      <c r="F71" s="2385">
        <v>24000</v>
      </c>
      <c r="G71" s="2385">
        <v>24000</v>
      </c>
      <c r="H71" s="2385">
        <v>24000</v>
      </c>
      <c r="I71" s="2385">
        <v>24000</v>
      </c>
      <c r="J71" s="2385">
        <v>24000</v>
      </c>
      <c r="K71" s="2385">
        <v>24000</v>
      </c>
      <c r="L71" s="2386">
        <f>'Příjmy kapitol celkem'!M73</f>
        <v>46300</v>
      </c>
      <c r="M71" s="2353">
        <f t="shared" si="0"/>
        <v>22300</v>
      </c>
    </row>
    <row r="72" spans="1:14" ht="17.25" customHeight="1" outlineLevel="1">
      <c r="A72" s="2357"/>
      <c r="B72" s="2383" t="s">
        <v>57</v>
      </c>
      <c r="C72" s="2384">
        <v>2111</v>
      </c>
      <c r="D72" s="2385">
        <v>17000</v>
      </c>
      <c r="E72" s="2385">
        <v>17000</v>
      </c>
      <c r="F72" s="2385">
        <v>17000</v>
      </c>
      <c r="G72" s="2385">
        <v>17000</v>
      </c>
      <c r="H72" s="2385">
        <v>17000</v>
      </c>
      <c r="I72" s="2385">
        <v>17000</v>
      </c>
      <c r="J72" s="2385">
        <v>17000</v>
      </c>
      <c r="K72" s="2385">
        <v>17000</v>
      </c>
      <c r="L72" s="2386">
        <f>'Příjmy kapitol celkem'!M74</f>
        <v>17000</v>
      </c>
      <c r="M72" s="2353">
        <f t="shared" si="0"/>
        <v>0</v>
      </c>
    </row>
    <row r="73" spans="1:14" ht="17.25" hidden="1" customHeight="1" outlineLevel="1">
      <c r="A73" s="2357"/>
      <c r="B73" s="2383" t="s">
        <v>1224</v>
      </c>
      <c r="C73" s="2384">
        <v>2111</v>
      </c>
      <c r="D73" s="2385">
        <v>0</v>
      </c>
      <c r="E73" s="2385">
        <v>0</v>
      </c>
      <c r="F73" s="2385">
        <v>0</v>
      </c>
      <c r="G73" s="2385">
        <v>0</v>
      </c>
      <c r="H73" s="2385">
        <v>0</v>
      </c>
      <c r="I73" s="2385">
        <v>0</v>
      </c>
      <c r="J73" s="2385">
        <v>0</v>
      </c>
      <c r="K73" s="2385">
        <v>0</v>
      </c>
      <c r="L73" s="2386">
        <f>'Příjmy kapitol celkem'!M75</f>
        <v>0</v>
      </c>
      <c r="M73" s="2353">
        <f t="shared" ref="M73:M136" si="1">+L73-K73</f>
        <v>0</v>
      </c>
    </row>
    <row r="74" spans="1:14" ht="17.25" hidden="1" customHeight="1" outlineLevel="1">
      <c r="A74" s="2357"/>
      <c r="B74" s="2383" t="s">
        <v>1924</v>
      </c>
      <c r="C74" s="2384">
        <v>2324</v>
      </c>
      <c r="D74" s="2385"/>
      <c r="E74" s="2385"/>
      <c r="F74" s="2385"/>
      <c r="G74" s="2385"/>
      <c r="H74" s="2385"/>
      <c r="I74" s="2385"/>
      <c r="J74" s="2385"/>
      <c r="K74" s="2385"/>
      <c r="L74" s="2386"/>
      <c r="M74" s="2353">
        <f t="shared" si="1"/>
        <v>0</v>
      </c>
    </row>
    <row r="75" spans="1:14" ht="17.25" hidden="1" customHeight="1" outlineLevel="1">
      <c r="A75" s="2357"/>
      <c r="B75" s="2383" t="s">
        <v>553</v>
      </c>
      <c r="C75" s="2384">
        <v>2322</v>
      </c>
      <c r="D75" s="2385">
        <v>0</v>
      </c>
      <c r="E75" s="2385">
        <v>0</v>
      </c>
      <c r="F75" s="2385">
        <v>0</v>
      </c>
      <c r="G75" s="2385">
        <v>0</v>
      </c>
      <c r="H75" s="2385">
        <v>0</v>
      </c>
      <c r="I75" s="2385">
        <v>0</v>
      </c>
      <c r="J75" s="2385">
        <v>0</v>
      </c>
      <c r="K75" s="2385">
        <v>0</v>
      </c>
      <c r="L75" s="2386">
        <f>'Příjmy kapitol celkem'!M76</f>
        <v>0</v>
      </c>
      <c r="M75" s="2353">
        <f t="shared" si="1"/>
        <v>0</v>
      </c>
    </row>
    <row r="76" spans="1:14" ht="17.25" hidden="1" customHeight="1" outlineLevel="1">
      <c r="A76" s="2357"/>
      <c r="B76" s="2383" t="s">
        <v>1225</v>
      </c>
      <c r="C76" s="2384">
        <v>2321</v>
      </c>
      <c r="D76" s="2385">
        <v>0</v>
      </c>
      <c r="E76" s="2385">
        <v>0</v>
      </c>
      <c r="F76" s="2385">
        <v>0</v>
      </c>
      <c r="G76" s="2385">
        <v>0</v>
      </c>
      <c r="H76" s="2385">
        <v>0</v>
      </c>
      <c r="I76" s="2385">
        <v>0</v>
      </c>
      <c r="J76" s="2385">
        <v>0</v>
      </c>
      <c r="K76" s="2385">
        <v>0</v>
      </c>
      <c r="L76" s="2386">
        <f>'Příjmy kapitol celkem'!M77</f>
        <v>0</v>
      </c>
      <c r="M76" s="2353">
        <f t="shared" si="1"/>
        <v>0</v>
      </c>
    </row>
    <row r="77" spans="1:14" ht="17.25" hidden="1" customHeight="1" outlineLevel="1">
      <c r="A77" s="2357"/>
      <c r="B77" s="2383" t="s">
        <v>553</v>
      </c>
      <c r="C77" s="2384">
        <v>2322</v>
      </c>
      <c r="D77" s="2385">
        <v>0</v>
      </c>
      <c r="E77" s="2385">
        <v>0</v>
      </c>
      <c r="F77" s="2385">
        <v>0</v>
      </c>
      <c r="G77" s="2385">
        <v>0</v>
      </c>
      <c r="H77" s="2385">
        <v>0</v>
      </c>
      <c r="I77" s="2385">
        <v>0</v>
      </c>
      <c r="J77" s="2385">
        <v>0</v>
      </c>
      <c r="K77" s="2385">
        <v>0</v>
      </c>
      <c r="L77" s="2386">
        <f>'Příjmy kapitol celkem'!M78</f>
        <v>0</v>
      </c>
      <c r="M77" s="2353">
        <f t="shared" si="1"/>
        <v>0</v>
      </c>
    </row>
    <row r="78" spans="1:14" ht="17.25" hidden="1" customHeight="1" outlineLevel="1">
      <c r="A78" s="2357"/>
      <c r="B78" s="2383" t="s">
        <v>553</v>
      </c>
      <c r="C78" s="2384">
        <v>2322</v>
      </c>
      <c r="D78" s="2385">
        <v>0</v>
      </c>
      <c r="E78" s="2385">
        <v>0</v>
      </c>
      <c r="F78" s="2385">
        <v>0</v>
      </c>
      <c r="G78" s="2385">
        <v>0</v>
      </c>
      <c r="H78" s="2385">
        <v>0</v>
      </c>
      <c r="I78" s="2385">
        <v>0</v>
      </c>
      <c r="J78" s="2385">
        <v>0</v>
      </c>
      <c r="K78" s="2385">
        <v>0</v>
      </c>
      <c r="L78" s="2386">
        <f>'Příjmy kapitol celkem'!M79</f>
        <v>0</v>
      </c>
      <c r="M78" s="2353">
        <f t="shared" si="1"/>
        <v>0</v>
      </c>
    </row>
    <row r="79" spans="1:14" ht="17.25" customHeight="1" outlineLevel="1">
      <c r="A79" s="2357"/>
      <c r="B79" s="2383" t="s">
        <v>2963</v>
      </c>
      <c r="C79" s="2384">
        <v>2112</v>
      </c>
      <c r="D79" s="2385"/>
      <c r="E79" s="2385"/>
      <c r="F79" s="2385"/>
      <c r="G79" s="2385"/>
      <c r="H79" s="2385"/>
      <c r="I79" s="2385"/>
      <c r="J79" s="2385"/>
      <c r="K79" s="2385"/>
      <c r="L79" s="2386">
        <f>+'Příjmy kapitol celkem'!M80</f>
        <v>5000</v>
      </c>
      <c r="M79" s="2353">
        <f t="shared" si="1"/>
        <v>5000</v>
      </c>
    </row>
    <row r="80" spans="1:14" ht="17.25" customHeight="1" outlineLevel="1">
      <c r="A80" s="2357"/>
      <c r="B80" s="2383" t="s">
        <v>225</v>
      </c>
      <c r="C80" s="2384">
        <v>2322</v>
      </c>
      <c r="D80" s="2385">
        <v>0</v>
      </c>
      <c r="E80" s="2385">
        <v>0</v>
      </c>
      <c r="F80" s="2385">
        <v>0</v>
      </c>
      <c r="G80" s="2385">
        <v>0</v>
      </c>
      <c r="H80" s="2385">
        <v>0</v>
      </c>
      <c r="I80" s="2385">
        <v>0</v>
      </c>
      <c r="J80" s="2385">
        <v>0</v>
      </c>
      <c r="K80" s="2385">
        <v>0</v>
      </c>
      <c r="L80" s="2386">
        <f>'Příjmy kapitol celkem'!M81</f>
        <v>42000</v>
      </c>
      <c r="M80" s="2353">
        <f t="shared" si="1"/>
        <v>42000</v>
      </c>
    </row>
    <row r="81" spans="1:14" ht="17.25" hidden="1" customHeight="1" outlineLevel="1">
      <c r="A81" s="2357"/>
      <c r="B81" s="2383" t="s">
        <v>1227</v>
      </c>
      <c r="C81" s="2384">
        <v>2212</v>
      </c>
      <c r="D81" s="2385">
        <v>0</v>
      </c>
      <c r="E81" s="2385">
        <v>0</v>
      </c>
      <c r="F81" s="2385">
        <v>0</v>
      </c>
      <c r="G81" s="2385">
        <v>0</v>
      </c>
      <c r="H81" s="2385">
        <v>0</v>
      </c>
      <c r="I81" s="2385">
        <v>0</v>
      </c>
      <c r="J81" s="2385">
        <v>0</v>
      </c>
      <c r="K81" s="2385">
        <v>0</v>
      </c>
      <c r="L81" s="2386">
        <f>'Příjmy kapitol celkem'!M82</f>
        <v>0</v>
      </c>
      <c r="M81" s="2353">
        <f t="shared" si="1"/>
        <v>0</v>
      </c>
    </row>
    <row r="82" spans="1:14" ht="17.25" customHeight="1" outlineLevel="1">
      <c r="A82" s="2357"/>
      <c r="B82" s="2383" t="s">
        <v>2964</v>
      </c>
      <c r="C82" s="2384">
        <v>2212</v>
      </c>
      <c r="D82" s="2385"/>
      <c r="E82" s="2385"/>
      <c r="F82" s="2385"/>
      <c r="G82" s="2385"/>
      <c r="H82" s="2385"/>
      <c r="I82" s="2385"/>
      <c r="J82" s="2385"/>
      <c r="K82" s="2385"/>
      <c r="L82" s="2386">
        <f>+'Příjmy kapitol celkem'!M83</f>
        <v>333000</v>
      </c>
      <c r="M82" s="2353">
        <f t="shared" si="1"/>
        <v>333000</v>
      </c>
    </row>
    <row r="83" spans="1:14" ht="17.25" customHeight="1" outlineLevel="1">
      <c r="A83" s="2357"/>
      <c r="B83" s="2383" t="s">
        <v>743</v>
      </c>
      <c r="C83" s="2384">
        <v>2141</v>
      </c>
      <c r="D83" s="2385">
        <v>10000</v>
      </c>
      <c r="E83" s="2385">
        <v>10000</v>
      </c>
      <c r="F83" s="2385">
        <v>10000</v>
      </c>
      <c r="G83" s="2385">
        <v>10000</v>
      </c>
      <c r="H83" s="2385">
        <v>10000</v>
      </c>
      <c r="I83" s="2385">
        <v>10000</v>
      </c>
      <c r="J83" s="2385">
        <v>10000</v>
      </c>
      <c r="K83" s="2385">
        <v>10000</v>
      </c>
      <c r="L83" s="2386">
        <f>'Příjmy kapitol celkem'!M84</f>
        <v>6000</v>
      </c>
      <c r="M83" s="2353">
        <f t="shared" si="1"/>
        <v>-4000</v>
      </c>
    </row>
    <row r="84" spans="1:14" ht="17.25" customHeight="1" outlineLevel="1">
      <c r="A84" s="2357"/>
      <c r="B84" s="2383" t="s">
        <v>483</v>
      </c>
      <c r="C84" s="2384">
        <v>2132</v>
      </c>
      <c r="D84" s="2385">
        <v>4400</v>
      </c>
      <c r="E84" s="2385">
        <v>4400</v>
      </c>
      <c r="F84" s="2385">
        <v>4400</v>
      </c>
      <c r="G84" s="2385">
        <v>4400</v>
      </c>
      <c r="H84" s="2385">
        <v>4400</v>
      </c>
      <c r="I84" s="2385">
        <v>4400</v>
      </c>
      <c r="J84" s="2385">
        <v>4400</v>
      </c>
      <c r="K84" s="2385">
        <v>4400</v>
      </c>
      <c r="L84" s="2386">
        <f>'Příjmy kapitol celkem'!M85</f>
        <v>4400</v>
      </c>
      <c r="M84" s="2353">
        <f t="shared" si="1"/>
        <v>0</v>
      </c>
    </row>
    <row r="85" spans="1:14" outlineLevel="1">
      <c r="A85" s="2357"/>
      <c r="B85" s="2383" t="s">
        <v>744</v>
      </c>
      <c r="C85" s="2384">
        <v>2119</v>
      </c>
      <c r="D85" s="2385">
        <v>300000</v>
      </c>
      <c r="E85" s="2385">
        <v>300000</v>
      </c>
      <c r="F85" s="2385">
        <v>300000</v>
      </c>
      <c r="G85" s="2385">
        <v>376213</v>
      </c>
      <c r="H85" s="2385">
        <v>376213</v>
      </c>
      <c r="I85" s="2385">
        <v>376213</v>
      </c>
      <c r="J85" s="2385">
        <v>376213</v>
      </c>
      <c r="K85" s="2385">
        <v>376213</v>
      </c>
      <c r="L85" s="2386">
        <f>'Příjmy kapitol celkem'!M87</f>
        <v>596000</v>
      </c>
      <c r="M85" s="2353">
        <f t="shared" si="1"/>
        <v>219787</v>
      </c>
    </row>
    <row r="86" spans="1:14" hidden="1" outlineLevel="1">
      <c r="A86" s="2357"/>
      <c r="B86" s="2387" t="s">
        <v>61</v>
      </c>
      <c r="C86" s="2371" t="s">
        <v>44</v>
      </c>
      <c r="D86" s="2385">
        <v>0</v>
      </c>
      <c r="E86" s="2385">
        <v>0</v>
      </c>
      <c r="F86" s="2385">
        <v>0</v>
      </c>
      <c r="G86" s="2385">
        <v>0</v>
      </c>
      <c r="H86" s="2385">
        <v>0</v>
      </c>
      <c r="I86" s="2385">
        <v>0</v>
      </c>
      <c r="J86" s="2385">
        <v>0</v>
      </c>
      <c r="K86" s="2385">
        <v>0</v>
      </c>
      <c r="L86" s="2386">
        <f>'Příjmy kapitol celkem'!M90</f>
        <v>0</v>
      </c>
      <c r="M86" s="2353">
        <f t="shared" si="1"/>
        <v>0</v>
      </c>
    </row>
    <row r="87" spans="1:14" ht="18" customHeight="1">
      <c r="A87" s="2357"/>
      <c r="B87" s="2370"/>
      <c r="C87" s="2371"/>
      <c r="D87" s="2372"/>
      <c r="E87" s="2372"/>
      <c r="F87" s="2372"/>
      <c r="G87" s="2372"/>
      <c r="H87" s="2372"/>
      <c r="I87" s="2372"/>
      <c r="J87" s="2372"/>
      <c r="K87" s="2372"/>
      <c r="L87" s="2373"/>
      <c r="M87" s="2353">
        <f t="shared" si="1"/>
        <v>0</v>
      </c>
    </row>
    <row r="88" spans="1:14" s="2234" customFormat="1" ht="15" thickBot="1">
      <c r="A88" s="2374" t="s">
        <v>226</v>
      </c>
      <c r="B88" s="2375" t="s">
        <v>227</v>
      </c>
      <c r="C88" s="2376"/>
      <c r="D88" s="2377">
        <v>65000</v>
      </c>
      <c r="E88" s="2377">
        <v>65000</v>
      </c>
      <c r="F88" s="2377">
        <v>65000</v>
      </c>
      <c r="G88" s="2377">
        <v>123478</v>
      </c>
      <c r="H88" s="2377">
        <v>123478</v>
      </c>
      <c r="I88" s="2377">
        <v>13519038</v>
      </c>
      <c r="J88" s="2377">
        <v>13519038</v>
      </c>
      <c r="K88" s="2377">
        <v>123478</v>
      </c>
      <c r="L88" s="2378">
        <f>SUM(L89:L92)</f>
        <v>204478</v>
      </c>
      <c r="M88" s="2353">
        <f t="shared" si="1"/>
        <v>81000</v>
      </c>
      <c r="N88" s="2167"/>
    </row>
    <row r="89" spans="1:14" ht="16.5" customHeight="1" outlineLevel="1" thickTop="1">
      <c r="A89" s="2357"/>
      <c r="B89" s="2379" t="s">
        <v>228</v>
      </c>
      <c r="C89" s="2380">
        <v>3111</v>
      </c>
      <c r="D89" s="2381">
        <v>0</v>
      </c>
      <c r="E89" s="2381">
        <v>0</v>
      </c>
      <c r="F89" s="2381">
        <v>0</v>
      </c>
      <c r="G89" s="2381">
        <v>0</v>
      </c>
      <c r="H89" s="2381">
        <v>0</v>
      </c>
      <c r="I89" s="2381">
        <v>0</v>
      </c>
      <c r="J89" s="2381">
        <v>0</v>
      </c>
      <c r="K89" s="2381">
        <v>0</v>
      </c>
      <c r="L89" s="2382">
        <f>'Příjmy kapitol celkem'!M89</f>
        <v>0</v>
      </c>
      <c r="M89" s="2353">
        <f t="shared" si="1"/>
        <v>0</v>
      </c>
      <c r="N89" s="2234"/>
    </row>
    <row r="90" spans="1:14" ht="16.5" customHeight="1" outlineLevel="1">
      <c r="A90" s="2388"/>
      <c r="B90" s="2389" t="s">
        <v>2561</v>
      </c>
      <c r="C90" s="2390">
        <v>3111</v>
      </c>
      <c r="D90" s="2391"/>
      <c r="E90" s="2391"/>
      <c r="F90" s="2391"/>
      <c r="G90" s="2391"/>
      <c r="H90" s="2391"/>
      <c r="I90" s="2391">
        <v>13395560</v>
      </c>
      <c r="J90" s="2391">
        <v>13395560</v>
      </c>
      <c r="K90" s="2391">
        <v>0</v>
      </c>
      <c r="L90" s="2392">
        <f>+'Příjmy kapitol celkem'!M88</f>
        <v>81000</v>
      </c>
      <c r="M90" s="2353">
        <f t="shared" si="1"/>
        <v>81000</v>
      </c>
    </row>
    <row r="91" spans="1:14" ht="16.5" customHeight="1" outlineLevel="1">
      <c r="A91" s="2357"/>
      <c r="B91" s="2383" t="s">
        <v>59</v>
      </c>
      <c r="C91" s="2384" t="s">
        <v>58</v>
      </c>
      <c r="D91" s="2385">
        <v>65000</v>
      </c>
      <c r="E91" s="2385">
        <v>65000</v>
      </c>
      <c r="F91" s="2385">
        <v>65000</v>
      </c>
      <c r="G91" s="2385">
        <v>123478</v>
      </c>
      <c r="H91" s="2385">
        <v>123478</v>
      </c>
      <c r="I91" s="2385">
        <v>123478</v>
      </c>
      <c r="J91" s="2385">
        <v>123478</v>
      </c>
      <c r="K91" s="2385">
        <v>123478</v>
      </c>
      <c r="L91" s="2386">
        <f>'Příjmy kapitol celkem'!M86</f>
        <v>123478</v>
      </c>
      <c r="M91" s="2353">
        <f t="shared" si="1"/>
        <v>0</v>
      </c>
    </row>
    <row r="92" spans="1:14" ht="16.5" customHeight="1" outlineLevel="1">
      <c r="A92" s="2357"/>
      <c r="B92" s="2383" t="s">
        <v>2967</v>
      </c>
      <c r="C92" s="2384">
        <v>2132</v>
      </c>
      <c r="D92" s="2385"/>
      <c r="E92" s="2385"/>
      <c r="F92" s="2385"/>
      <c r="G92" s="2385"/>
      <c r="H92" s="2385"/>
      <c r="I92" s="2385"/>
      <c r="J92" s="2385"/>
      <c r="K92" s="2385"/>
      <c r="L92" s="2386"/>
      <c r="M92" s="2353">
        <f t="shared" si="1"/>
        <v>0</v>
      </c>
    </row>
    <row r="93" spans="1:14" ht="14.25" customHeight="1" outlineLevel="1">
      <c r="A93" s="2357"/>
      <c r="B93" s="2383"/>
      <c r="C93" s="2371"/>
      <c r="D93" s="2372"/>
      <c r="E93" s="2372"/>
      <c r="F93" s="2372"/>
      <c r="G93" s="2372"/>
      <c r="H93" s="2372"/>
      <c r="I93" s="2372"/>
      <c r="J93" s="2372"/>
      <c r="K93" s="2372"/>
      <c r="L93" s="2373"/>
      <c r="M93" s="2353">
        <f t="shared" si="1"/>
        <v>0</v>
      </c>
    </row>
    <row r="94" spans="1:14" s="2234" customFormat="1" ht="18.75" customHeight="1" thickBot="1">
      <c r="A94" s="2374" t="s">
        <v>230</v>
      </c>
      <c r="B94" s="2375" t="s">
        <v>231</v>
      </c>
      <c r="C94" s="2376"/>
      <c r="D94" s="2377">
        <v>29768876</v>
      </c>
      <c r="E94" s="2377">
        <v>78786021</v>
      </c>
      <c r="F94" s="2377">
        <v>78600821</v>
      </c>
      <c r="G94" s="2377">
        <v>78600821</v>
      </c>
      <c r="H94" s="2377">
        <v>78600821</v>
      </c>
      <c r="I94" s="2377">
        <v>67601821</v>
      </c>
      <c r="J94" s="2377">
        <v>67601821</v>
      </c>
      <c r="K94" s="2377">
        <v>59531452</v>
      </c>
      <c r="L94" s="2378">
        <f>SUM(L95:L129)</f>
        <v>37081936</v>
      </c>
      <c r="M94" s="2353">
        <f t="shared" si="1"/>
        <v>-22449516</v>
      </c>
      <c r="N94" s="2167"/>
    </row>
    <row r="95" spans="1:14" ht="19.5" customHeight="1" outlineLevel="1" thickTop="1">
      <c r="A95" s="2357"/>
      <c r="B95" s="2383" t="s">
        <v>2085</v>
      </c>
      <c r="C95" s="2384">
        <v>4111</v>
      </c>
      <c r="D95" s="2385">
        <v>130800</v>
      </c>
      <c r="E95" s="2385">
        <v>0</v>
      </c>
      <c r="F95" s="2385">
        <v>0</v>
      </c>
      <c r="G95" s="2385">
        <v>0</v>
      </c>
      <c r="H95" s="2385">
        <v>0</v>
      </c>
      <c r="I95" s="2385">
        <v>0</v>
      </c>
      <c r="J95" s="2385">
        <v>0</v>
      </c>
      <c r="K95" s="2385">
        <v>0</v>
      </c>
      <c r="L95" s="2386">
        <f>'Příjmy kapitol celkem'!M31</f>
        <v>163123</v>
      </c>
      <c r="M95" s="2353">
        <f t="shared" si="1"/>
        <v>163123</v>
      </c>
      <c r="N95" s="2234"/>
    </row>
    <row r="96" spans="1:14" ht="19.5" customHeight="1" outlineLevel="1">
      <c r="A96" s="2357"/>
      <c r="B96" s="2383" t="s">
        <v>674</v>
      </c>
      <c r="C96" s="2384">
        <v>4116</v>
      </c>
      <c r="D96" s="2385">
        <v>60000</v>
      </c>
      <c r="E96" s="2385">
        <v>0</v>
      </c>
      <c r="F96" s="2385">
        <v>0</v>
      </c>
      <c r="G96" s="2385">
        <v>0</v>
      </c>
      <c r="H96" s="2385">
        <v>0</v>
      </c>
      <c r="I96" s="2385">
        <v>0</v>
      </c>
      <c r="J96" s="2385">
        <v>0</v>
      </c>
      <c r="K96" s="2385">
        <v>0</v>
      </c>
      <c r="L96" s="2386">
        <f>'Příjmy kapitol celkem'!M32</f>
        <v>120000</v>
      </c>
      <c r="M96" s="2353">
        <f t="shared" si="1"/>
        <v>120000</v>
      </c>
    </row>
    <row r="97" spans="1:13" ht="19.5" hidden="1" customHeight="1" outlineLevel="1">
      <c r="A97" s="2357"/>
      <c r="B97" s="2383" t="s">
        <v>2100</v>
      </c>
      <c r="C97" s="2380">
        <v>4121</v>
      </c>
      <c r="D97" s="2381">
        <v>0</v>
      </c>
      <c r="E97" s="2381">
        <v>0</v>
      </c>
      <c r="F97" s="2381">
        <v>0</v>
      </c>
      <c r="G97" s="2381">
        <v>0</v>
      </c>
      <c r="H97" s="2381">
        <v>0</v>
      </c>
      <c r="I97" s="2381">
        <v>0</v>
      </c>
      <c r="J97" s="2381">
        <v>0</v>
      </c>
      <c r="K97" s="2381">
        <v>0</v>
      </c>
      <c r="L97" s="2382">
        <f>'Příjmy kapitol celkem'!M33</f>
        <v>0</v>
      </c>
      <c r="M97" s="2353">
        <f t="shared" si="1"/>
        <v>0</v>
      </c>
    </row>
    <row r="98" spans="1:13" ht="19.5" hidden="1" customHeight="1" outlineLevel="1">
      <c r="A98" s="2357"/>
      <c r="B98" s="2393" t="s">
        <v>2061</v>
      </c>
      <c r="C98" s="2380" t="s">
        <v>34</v>
      </c>
      <c r="D98" s="2381"/>
      <c r="E98" s="2381"/>
      <c r="F98" s="2381"/>
      <c r="G98" s="2381"/>
      <c r="H98" s="2381"/>
      <c r="I98" s="2381"/>
      <c r="J98" s="2381"/>
      <c r="K98" s="2381"/>
      <c r="L98" s="2382"/>
      <c r="M98" s="2353">
        <f t="shared" si="1"/>
        <v>0</v>
      </c>
    </row>
    <row r="99" spans="1:13" ht="19.5" hidden="1" customHeight="1" outlineLevel="1">
      <c r="A99" s="2357"/>
      <c r="B99" s="2383" t="s">
        <v>2062</v>
      </c>
      <c r="C99" s="2384">
        <v>4121</v>
      </c>
      <c r="D99" s="2385"/>
      <c r="E99" s="2385"/>
      <c r="F99" s="2385"/>
      <c r="G99" s="2385"/>
      <c r="H99" s="2385"/>
      <c r="I99" s="2385"/>
      <c r="J99" s="2385"/>
      <c r="K99" s="2385"/>
      <c r="L99" s="2386"/>
      <c r="M99" s="2353">
        <f t="shared" si="1"/>
        <v>0</v>
      </c>
    </row>
    <row r="100" spans="1:13" ht="19.5" hidden="1" customHeight="1" outlineLevel="1">
      <c r="A100" s="2357"/>
      <c r="B100" s="2393" t="s">
        <v>2063</v>
      </c>
      <c r="C100" s="2380">
        <v>4121</v>
      </c>
      <c r="D100" s="2381"/>
      <c r="E100" s="2381"/>
      <c r="F100" s="2381"/>
      <c r="G100" s="2381"/>
      <c r="H100" s="2381"/>
      <c r="I100" s="2381"/>
      <c r="J100" s="2381"/>
      <c r="K100" s="2381"/>
      <c r="L100" s="2382"/>
      <c r="M100" s="2353">
        <f t="shared" si="1"/>
        <v>0</v>
      </c>
    </row>
    <row r="101" spans="1:13" ht="19.5" hidden="1" customHeight="1" outlineLevel="1">
      <c r="A101" s="2357"/>
      <c r="B101" s="2393" t="s">
        <v>2064</v>
      </c>
      <c r="C101" s="2380">
        <v>4122</v>
      </c>
      <c r="D101" s="2381"/>
      <c r="E101" s="2381"/>
      <c r="F101" s="2381"/>
      <c r="G101" s="2381"/>
      <c r="H101" s="2381"/>
      <c r="I101" s="2381"/>
      <c r="J101" s="2381"/>
      <c r="K101" s="2381"/>
      <c r="L101" s="2382"/>
      <c r="M101" s="2353">
        <f t="shared" si="1"/>
        <v>0</v>
      </c>
    </row>
    <row r="102" spans="1:13" ht="19.5" customHeight="1" outlineLevel="1">
      <c r="A102" s="2357"/>
      <c r="B102" s="2393" t="s">
        <v>35</v>
      </c>
      <c r="C102" s="2380">
        <v>4112</v>
      </c>
      <c r="D102" s="2381">
        <v>10108300</v>
      </c>
      <c r="E102" s="2381">
        <v>10108300</v>
      </c>
      <c r="F102" s="2381">
        <v>10095200</v>
      </c>
      <c r="G102" s="2381">
        <v>10095200</v>
      </c>
      <c r="H102" s="2381">
        <v>10095200</v>
      </c>
      <c r="I102" s="2381">
        <v>10095200</v>
      </c>
      <c r="J102" s="2381">
        <v>10095200</v>
      </c>
      <c r="K102" s="2381">
        <v>8491300</v>
      </c>
      <c r="L102" s="2382">
        <f>'Příjmy kapitol celkem'!M91</f>
        <v>8491300</v>
      </c>
      <c r="M102" s="2353">
        <f t="shared" si="1"/>
        <v>0</v>
      </c>
    </row>
    <row r="103" spans="1:13" ht="19.5" hidden="1" customHeight="1" outlineLevel="1">
      <c r="A103" s="2357"/>
      <c r="B103" s="2393" t="s">
        <v>2068</v>
      </c>
      <c r="C103" s="2380">
        <v>4222</v>
      </c>
      <c r="D103" s="2381"/>
      <c r="E103" s="2381"/>
      <c r="F103" s="2381"/>
      <c r="G103" s="2381"/>
      <c r="H103" s="2381"/>
      <c r="I103" s="2381"/>
      <c r="J103" s="2381"/>
      <c r="K103" s="2381"/>
      <c r="L103" s="2382"/>
      <c r="M103" s="2353">
        <f t="shared" si="1"/>
        <v>0</v>
      </c>
    </row>
    <row r="104" spans="1:13" ht="19.5" customHeight="1" outlineLevel="1">
      <c r="A104" s="2357"/>
      <c r="B104" s="2393" t="s">
        <v>2968</v>
      </c>
      <c r="C104" s="2380">
        <v>4216</v>
      </c>
      <c r="D104" s="2381"/>
      <c r="E104" s="2381">
        <v>30398511</v>
      </c>
      <c r="F104" s="2381">
        <v>30398511</v>
      </c>
      <c r="G104" s="2381">
        <v>30398511</v>
      </c>
      <c r="H104" s="2381">
        <v>30398511</v>
      </c>
      <c r="I104" s="2381">
        <v>30398511</v>
      </c>
      <c r="J104" s="2381">
        <v>30398511</v>
      </c>
      <c r="K104" s="2381">
        <v>30398511</v>
      </c>
      <c r="L104" s="2382">
        <f>+'Příjmy kapitol celkem'!M29</f>
        <v>7363360</v>
      </c>
      <c r="M104" s="2353">
        <f t="shared" si="1"/>
        <v>-23035151</v>
      </c>
    </row>
    <row r="105" spans="1:13" ht="19.5" customHeight="1" outlineLevel="1">
      <c r="A105" s="2357"/>
      <c r="B105" s="2393" t="s">
        <v>2969</v>
      </c>
      <c r="C105" s="2380">
        <v>4116</v>
      </c>
      <c r="D105" s="2381"/>
      <c r="E105" s="2381"/>
      <c r="F105" s="2381"/>
      <c r="G105" s="2381"/>
      <c r="H105" s="2381"/>
      <c r="I105" s="2381"/>
      <c r="J105" s="2381"/>
      <c r="K105" s="2381"/>
      <c r="L105" s="2382">
        <f>+'Příjmy kapitol celkem'!M30</f>
        <v>515435</v>
      </c>
      <c r="M105" s="2353">
        <f t="shared" si="1"/>
        <v>515435</v>
      </c>
    </row>
    <row r="106" spans="1:13" ht="19.5" hidden="1" customHeight="1" outlineLevel="1">
      <c r="A106" s="2357"/>
      <c r="B106" s="2393" t="s">
        <v>2065</v>
      </c>
      <c r="C106" s="2380" t="s">
        <v>36</v>
      </c>
      <c r="D106" s="2385"/>
      <c r="E106" s="2385"/>
      <c r="F106" s="2385"/>
      <c r="G106" s="2385"/>
      <c r="H106" s="2385"/>
      <c r="I106" s="2385"/>
      <c r="J106" s="2385"/>
      <c r="K106" s="2385"/>
      <c r="L106" s="2386"/>
      <c r="M106" s="2353">
        <f t="shared" si="1"/>
        <v>0</v>
      </c>
    </row>
    <row r="107" spans="1:13" ht="19.5" hidden="1" customHeight="1" outlineLevel="1">
      <c r="A107" s="2357"/>
      <c r="B107" s="2393" t="s">
        <v>2066</v>
      </c>
      <c r="C107" s="2380">
        <v>4216</v>
      </c>
      <c r="D107" s="2385"/>
      <c r="E107" s="2385"/>
      <c r="F107" s="2385"/>
      <c r="G107" s="2385"/>
      <c r="H107" s="2385"/>
      <c r="I107" s="2385"/>
      <c r="J107" s="2385"/>
      <c r="K107" s="2385"/>
      <c r="L107" s="2386"/>
      <c r="M107" s="2353">
        <f t="shared" si="1"/>
        <v>0</v>
      </c>
    </row>
    <row r="108" spans="1:13" ht="19.5" hidden="1" customHeight="1" outlineLevel="1">
      <c r="A108" s="2357"/>
      <c r="B108" s="2383" t="s">
        <v>1913</v>
      </c>
      <c r="C108" s="2384">
        <v>4117</v>
      </c>
      <c r="D108" s="2385"/>
      <c r="E108" s="2385"/>
      <c r="F108" s="2385"/>
      <c r="G108" s="2385"/>
      <c r="H108" s="2385"/>
      <c r="I108" s="2385"/>
      <c r="J108" s="2385"/>
      <c r="K108" s="2385"/>
      <c r="L108" s="2386"/>
      <c r="M108" s="2353">
        <f t="shared" si="1"/>
        <v>0</v>
      </c>
    </row>
    <row r="109" spans="1:13" ht="19.5" customHeight="1" outlineLevel="1">
      <c r="A109" s="2357"/>
      <c r="B109" s="2383" t="s">
        <v>2103</v>
      </c>
      <c r="C109" s="2384">
        <v>4121</v>
      </c>
      <c r="D109" s="2385">
        <v>400000</v>
      </c>
      <c r="E109" s="2385">
        <v>100000</v>
      </c>
      <c r="F109" s="2385">
        <v>100000</v>
      </c>
      <c r="G109" s="2385">
        <v>100000</v>
      </c>
      <c r="H109" s="2385">
        <v>100000</v>
      </c>
      <c r="I109" s="2385">
        <v>100000</v>
      </c>
      <c r="J109" s="2385">
        <v>100000</v>
      </c>
      <c r="K109" s="2385">
        <v>100000</v>
      </c>
      <c r="L109" s="2386">
        <f>'Příjmy kapitol celkem'!M93</f>
        <v>63200</v>
      </c>
      <c r="M109" s="2353">
        <f t="shared" si="1"/>
        <v>-36800</v>
      </c>
    </row>
    <row r="110" spans="1:13" ht="19.5" customHeight="1" outlineLevel="1">
      <c r="A110" s="2357"/>
      <c r="B110" s="2383" t="s">
        <v>350</v>
      </c>
      <c r="C110" s="2384">
        <v>4121</v>
      </c>
      <c r="D110" s="2385">
        <v>898400</v>
      </c>
      <c r="E110" s="2385">
        <v>2229000</v>
      </c>
      <c r="F110" s="2385">
        <v>2229000</v>
      </c>
      <c r="G110" s="2385">
        <v>2229000</v>
      </c>
      <c r="H110" s="2385">
        <v>2229000</v>
      </c>
      <c r="I110" s="2385">
        <v>2229000</v>
      </c>
      <c r="J110" s="2385">
        <v>2229000</v>
      </c>
      <c r="K110" s="2385">
        <v>2229000</v>
      </c>
      <c r="L110" s="2386">
        <f>'Příjmy kapitol celkem'!M94</f>
        <v>2544095</v>
      </c>
      <c r="M110" s="2353">
        <f t="shared" si="1"/>
        <v>315095</v>
      </c>
    </row>
    <row r="111" spans="1:13" ht="19.5" customHeight="1" outlineLevel="1">
      <c r="A111" s="2357"/>
      <c r="B111" s="2383" t="s">
        <v>2965</v>
      </c>
      <c r="C111" s="2384">
        <v>4116</v>
      </c>
      <c r="D111" s="2385"/>
      <c r="E111" s="2385"/>
      <c r="F111" s="2385"/>
      <c r="G111" s="2385"/>
      <c r="H111" s="2385"/>
      <c r="I111" s="2385"/>
      <c r="J111" s="2385"/>
      <c r="K111" s="2385"/>
      <c r="L111" s="2386">
        <f>+'Příjmy kapitol celkem'!M95</f>
        <v>29800</v>
      </c>
      <c r="M111" s="2353">
        <f t="shared" si="1"/>
        <v>29800</v>
      </c>
    </row>
    <row r="112" spans="1:13" ht="19.5" customHeight="1" outlineLevel="1">
      <c r="A112" s="2357"/>
      <c r="B112" s="2383" t="s">
        <v>2856</v>
      </c>
      <c r="C112" s="2384">
        <v>4122</v>
      </c>
      <c r="D112" s="2385"/>
      <c r="E112" s="2385"/>
      <c r="F112" s="2385"/>
      <c r="G112" s="2385"/>
      <c r="H112" s="2385"/>
      <c r="I112" s="2385"/>
      <c r="J112" s="2385"/>
      <c r="K112" s="2385">
        <v>732731</v>
      </c>
      <c r="L112" s="2386">
        <f>+'Příjmy kapitol celkem'!M96</f>
        <v>732731</v>
      </c>
      <c r="M112" s="2353">
        <f t="shared" si="1"/>
        <v>0</v>
      </c>
    </row>
    <row r="113" spans="1:13" ht="19.5" customHeight="1" outlineLevel="1">
      <c r="A113" s="2357"/>
      <c r="B113" s="2383" t="s">
        <v>2857</v>
      </c>
      <c r="C113" s="2384">
        <v>4122</v>
      </c>
      <c r="D113" s="2385"/>
      <c r="E113" s="2385"/>
      <c r="F113" s="2385"/>
      <c r="G113" s="2385"/>
      <c r="H113" s="2385"/>
      <c r="I113" s="2385"/>
      <c r="J113" s="2385"/>
      <c r="K113" s="2385">
        <v>752400</v>
      </c>
      <c r="L113" s="2386">
        <f>+'Příjmy kapitol celkem'!M97</f>
        <v>752400</v>
      </c>
      <c r="M113" s="2353">
        <f t="shared" si="1"/>
        <v>0</v>
      </c>
    </row>
    <row r="114" spans="1:13" ht="19.5" customHeight="1" outlineLevel="1">
      <c r="A114" s="2357"/>
      <c r="B114" s="2383" t="s">
        <v>2858</v>
      </c>
      <c r="C114" s="2384">
        <v>4122</v>
      </c>
      <c r="D114" s="2385"/>
      <c r="E114" s="2385"/>
      <c r="F114" s="2385"/>
      <c r="G114" s="2385"/>
      <c r="H114" s="2385"/>
      <c r="I114" s="2385"/>
      <c r="J114" s="2385"/>
      <c r="K114" s="2385">
        <v>163400</v>
      </c>
      <c r="L114" s="2386">
        <f>+'Příjmy kapitol celkem'!M98</f>
        <v>163400</v>
      </c>
      <c r="M114" s="2353">
        <f t="shared" si="1"/>
        <v>0</v>
      </c>
    </row>
    <row r="115" spans="1:13" ht="19.5" hidden="1" customHeight="1" outlineLevel="1">
      <c r="A115" s="2357"/>
      <c r="B115" s="2383" t="s">
        <v>956</v>
      </c>
      <c r="C115" s="2384">
        <v>4216</v>
      </c>
      <c r="D115" s="2385">
        <v>0</v>
      </c>
      <c r="E115" s="2385">
        <v>0</v>
      </c>
      <c r="F115" s="2385">
        <v>0</v>
      </c>
      <c r="G115" s="2385">
        <v>0</v>
      </c>
      <c r="H115" s="2385">
        <v>0</v>
      </c>
      <c r="I115" s="2385">
        <v>0</v>
      </c>
      <c r="J115" s="2385">
        <v>0</v>
      </c>
      <c r="K115" s="2385">
        <v>0</v>
      </c>
      <c r="L115" s="2386">
        <f>'Příjmy kapitol celkem'!M103</f>
        <v>0</v>
      </c>
      <c r="M115" s="2353">
        <f t="shared" si="1"/>
        <v>0</v>
      </c>
    </row>
    <row r="116" spans="1:13" ht="19.5" hidden="1" customHeight="1" outlineLevel="1">
      <c r="A116" s="2357"/>
      <c r="B116" s="2393" t="s">
        <v>2067</v>
      </c>
      <c r="C116" s="2380">
        <v>4216</v>
      </c>
      <c r="D116" s="2385">
        <v>0</v>
      </c>
      <c r="E116" s="2385">
        <v>0</v>
      </c>
      <c r="F116" s="2385">
        <v>0</v>
      </c>
      <c r="G116" s="2385">
        <v>0</v>
      </c>
      <c r="H116" s="2385">
        <v>0</v>
      </c>
      <c r="I116" s="2385">
        <v>0</v>
      </c>
      <c r="J116" s="2385">
        <v>0</v>
      </c>
      <c r="K116" s="2385">
        <v>0</v>
      </c>
      <c r="L116" s="2386">
        <f>'Příjmy kapitol celkem'!M104</f>
        <v>0</v>
      </c>
      <c r="M116" s="2353">
        <f t="shared" si="1"/>
        <v>0</v>
      </c>
    </row>
    <row r="117" spans="1:13" ht="19.5" hidden="1" customHeight="1" outlineLevel="1">
      <c r="A117" s="2357"/>
      <c r="B117" s="2383" t="s">
        <v>1229</v>
      </c>
      <c r="C117" s="2384">
        <v>4222</v>
      </c>
      <c r="D117" s="2385">
        <v>0</v>
      </c>
      <c r="E117" s="2385">
        <v>0</v>
      </c>
      <c r="F117" s="2385">
        <v>0</v>
      </c>
      <c r="G117" s="2385">
        <v>0</v>
      </c>
      <c r="H117" s="2385">
        <v>0</v>
      </c>
      <c r="I117" s="2385">
        <v>0</v>
      </c>
      <c r="J117" s="2385">
        <v>0</v>
      </c>
      <c r="K117" s="2385">
        <v>0</v>
      </c>
      <c r="L117" s="2386">
        <f>'Příjmy kapitol celkem'!M106</f>
        <v>0</v>
      </c>
      <c r="M117" s="2353">
        <f t="shared" si="1"/>
        <v>0</v>
      </c>
    </row>
    <row r="118" spans="1:13" ht="19.5" hidden="1" customHeight="1" outlineLevel="1">
      <c r="A118" s="2357"/>
      <c r="B118" s="2383" t="s">
        <v>2300</v>
      </c>
      <c r="C118" s="2384">
        <v>4216</v>
      </c>
      <c r="D118" s="2385"/>
      <c r="E118" s="2385">
        <v>15000</v>
      </c>
      <c r="F118" s="2385">
        <v>15000</v>
      </c>
      <c r="G118" s="2385">
        <v>15000</v>
      </c>
      <c r="H118" s="2385">
        <v>15000</v>
      </c>
      <c r="I118" s="2385">
        <v>15000</v>
      </c>
      <c r="J118" s="2385">
        <v>15000</v>
      </c>
      <c r="K118" s="2385">
        <v>0</v>
      </c>
      <c r="L118" s="2386">
        <f>+'Příjmy kapitol celkem'!M105</f>
        <v>0</v>
      </c>
      <c r="M118" s="2353">
        <f t="shared" si="1"/>
        <v>0</v>
      </c>
    </row>
    <row r="119" spans="1:13" ht="19.5" customHeight="1" outlineLevel="1">
      <c r="A119" s="2357"/>
      <c r="B119" s="2383" t="s">
        <v>2948</v>
      </c>
      <c r="C119" s="2384">
        <v>4216</v>
      </c>
      <c r="D119" s="2385">
        <v>15505276</v>
      </c>
      <c r="E119" s="2385">
        <v>0</v>
      </c>
      <c r="F119" s="2385">
        <v>0</v>
      </c>
      <c r="G119" s="2385">
        <v>0</v>
      </c>
      <c r="H119" s="2385">
        <v>0</v>
      </c>
      <c r="I119" s="2385">
        <v>0</v>
      </c>
      <c r="J119" s="2385">
        <v>0</v>
      </c>
      <c r="K119" s="2385">
        <v>0</v>
      </c>
      <c r="L119" s="3119">
        <f>'Příjmy kapitol celkem'!M107</f>
        <v>2332341</v>
      </c>
      <c r="M119" s="2353">
        <f t="shared" si="1"/>
        <v>2332341</v>
      </c>
    </row>
    <row r="120" spans="1:13" ht="19.5" customHeight="1" outlineLevel="1">
      <c r="A120" s="2357"/>
      <c r="B120" s="2383" t="s">
        <v>2555</v>
      </c>
      <c r="C120" s="2384">
        <v>4116</v>
      </c>
      <c r="D120" s="2385"/>
      <c r="E120" s="2385"/>
      <c r="F120" s="2385"/>
      <c r="G120" s="2385"/>
      <c r="H120" s="2385"/>
      <c r="I120" s="2385"/>
      <c r="J120" s="2385"/>
      <c r="K120" s="2385"/>
      <c r="L120" s="2386">
        <f>+'Příjmy kapitol celkem'!M99</f>
        <v>325615</v>
      </c>
      <c r="M120" s="2353">
        <f t="shared" si="1"/>
        <v>325615</v>
      </c>
    </row>
    <row r="121" spans="1:13" ht="19.5" customHeight="1" outlineLevel="1">
      <c r="A121" s="2357"/>
      <c r="B121" s="2383" t="s">
        <v>2555</v>
      </c>
      <c r="C121" s="2384">
        <v>4216</v>
      </c>
      <c r="D121" s="2385"/>
      <c r="E121" s="2385">
        <v>9020110</v>
      </c>
      <c r="F121" s="2385">
        <v>9020110</v>
      </c>
      <c r="G121" s="2385">
        <v>9020110</v>
      </c>
      <c r="H121" s="2385">
        <v>9020110</v>
      </c>
      <c r="I121" s="2385">
        <v>9020110</v>
      </c>
      <c r="J121" s="2385">
        <v>9020110</v>
      </c>
      <c r="K121" s="2385">
        <v>9020110</v>
      </c>
      <c r="L121" s="2386">
        <f>+'Příjmy kapitol celkem'!M100</f>
        <v>4651648</v>
      </c>
      <c r="M121" s="2353">
        <f t="shared" si="1"/>
        <v>-4368462</v>
      </c>
    </row>
    <row r="122" spans="1:13" ht="19.5" customHeight="1" outlineLevel="1">
      <c r="A122" s="2357"/>
      <c r="B122" s="2383" t="s">
        <v>2556</v>
      </c>
      <c r="C122" s="2384">
        <v>4216</v>
      </c>
      <c r="D122" s="2385"/>
      <c r="E122" s="2385">
        <v>24999000</v>
      </c>
      <c r="F122" s="2385">
        <v>24999000</v>
      </c>
      <c r="G122" s="2385">
        <v>24999000</v>
      </c>
      <c r="H122" s="2385">
        <v>24999000</v>
      </c>
      <c r="I122" s="2385">
        <v>14000000</v>
      </c>
      <c r="J122" s="2385">
        <v>14000000</v>
      </c>
      <c r="K122" s="2385">
        <v>5900000</v>
      </c>
      <c r="L122" s="2386">
        <f>+'Příjmy kapitol celkem'!M101</f>
        <v>6963080</v>
      </c>
      <c r="M122" s="2353">
        <f t="shared" si="1"/>
        <v>1063080</v>
      </c>
    </row>
    <row r="123" spans="1:13" ht="19.5" customHeight="1" outlineLevel="1">
      <c r="A123" s="2357"/>
      <c r="B123" s="2383" t="s">
        <v>2556</v>
      </c>
      <c r="C123" s="2384">
        <v>4113</v>
      </c>
      <c r="D123" s="2385"/>
      <c r="E123" s="2385"/>
      <c r="F123" s="2385"/>
      <c r="G123" s="2385"/>
      <c r="H123" s="2385"/>
      <c r="I123" s="2385"/>
      <c r="J123" s="2385"/>
      <c r="K123" s="2385"/>
      <c r="L123" s="2386">
        <f>+'Příjmy kapitol celkem'!M102</f>
        <v>243708</v>
      </c>
      <c r="M123" s="2353">
        <f t="shared" si="1"/>
        <v>243708</v>
      </c>
    </row>
    <row r="124" spans="1:13" ht="19.5" hidden="1" customHeight="1" outlineLevel="1">
      <c r="A124" s="2357"/>
      <c r="B124" s="2383" t="s">
        <v>1147</v>
      </c>
      <c r="C124" s="2384" t="s">
        <v>36</v>
      </c>
      <c r="D124" s="2385">
        <v>750000</v>
      </c>
      <c r="E124" s="2385">
        <v>0</v>
      </c>
      <c r="F124" s="2385">
        <v>0</v>
      </c>
      <c r="G124" s="2385">
        <v>0</v>
      </c>
      <c r="H124" s="2385">
        <v>0</v>
      </c>
      <c r="I124" s="2385">
        <v>0</v>
      </c>
      <c r="J124" s="2385">
        <v>0</v>
      </c>
      <c r="K124" s="2385">
        <v>0</v>
      </c>
      <c r="L124" s="2386">
        <f>'Příjmy kapitol celkem'!M108</f>
        <v>0</v>
      </c>
      <c r="M124" s="2353">
        <f t="shared" si="1"/>
        <v>0</v>
      </c>
    </row>
    <row r="125" spans="1:13" ht="19.5" hidden="1" customHeight="1" outlineLevel="1">
      <c r="A125" s="2357"/>
      <c r="B125" s="2383" t="s">
        <v>957</v>
      </c>
      <c r="C125" s="2384">
        <v>4216</v>
      </c>
      <c r="D125" s="2385">
        <v>0</v>
      </c>
      <c r="E125" s="2385">
        <v>0</v>
      </c>
      <c r="F125" s="2385">
        <v>0</v>
      </c>
      <c r="G125" s="2385">
        <v>0</v>
      </c>
      <c r="H125" s="2385">
        <v>0</v>
      </c>
      <c r="I125" s="2385">
        <v>0</v>
      </c>
      <c r="J125" s="2385">
        <v>0</v>
      </c>
      <c r="K125" s="2385">
        <v>0</v>
      </c>
      <c r="L125" s="2386">
        <f>'Příjmy kapitol celkem'!M109</f>
        <v>0</v>
      </c>
      <c r="M125" s="2353">
        <f t="shared" si="1"/>
        <v>0</v>
      </c>
    </row>
    <row r="126" spans="1:13" ht="19.5" hidden="1" customHeight="1" outlineLevel="1">
      <c r="A126" s="2357"/>
      <c r="B126" s="2383" t="s">
        <v>1228</v>
      </c>
      <c r="C126" s="2384">
        <v>4216</v>
      </c>
      <c r="D126" s="2385">
        <v>0</v>
      </c>
      <c r="E126" s="2385">
        <v>0</v>
      </c>
      <c r="F126" s="2385">
        <v>0</v>
      </c>
      <c r="G126" s="2385">
        <v>0</v>
      </c>
      <c r="H126" s="2385">
        <v>0</v>
      </c>
      <c r="I126" s="2385">
        <v>0</v>
      </c>
      <c r="J126" s="2385">
        <v>0</v>
      </c>
      <c r="K126" s="2385">
        <v>0</v>
      </c>
      <c r="L126" s="2386">
        <f>'Příjmy kapitol celkem'!M110</f>
        <v>0</v>
      </c>
      <c r="M126" s="2353">
        <f t="shared" si="1"/>
        <v>0</v>
      </c>
    </row>
    <row r="127" spans="1:13" ht="30" hidden="1" customHeight="1" outlineLevel="1">
      <c r="A127" s="2357"/>
      <c r="B127" s="2394" t="s">
        <v>1148</v>
      </c>
      <c r="C127" s="2384" t="s">
        <v>36</v>
      </c>
      <c r="D127" s="2385">
        <v>0</v>
      </c>
      <c r="E127" s="2385">
        <v>0</v>
      </c>
      <c r="F127" s="2385">
        <v>0</v>
      </c>
      <c r="G127" s="2385">
        <v>0</v>
      </c>
      <c r="H127" s="2385">
        <v>0</v>
      </c>
      <c r="I127" s="2385">
        <v>0</v>
      </c>
      <c r="J127" s="2385">
        <v>0</v>
      </c>
      <c r="K127" s="2385">
        <v>0</v>
      </c>
      <c r="L127" s="2386">
        <f>'Příjmy kapitol celkem'!M111</f>
        <v>0</v>
      </c>
      <c r="M127" s="2353">
        <f t="shared" si="1"/>
        <v>0</v>
      </c>
    </row>
    <row r="128" spans="1:13" ht="19.5" hidden="1" customHeight="1" outlineLevel="1">
      <c r="A128" s="2357"/>
      <c r="B128" s="2383" t="s">
        <v>1149</v>
      </c>
      <c r="C128" s="2384" t="s">
        <v>36</v>
      </c>
      <c r="D128" s="2385">
        <v>0</v>
      </c>
      <c r="E128" s="2385">
        <v>0</v>
      </c>
      <c r="F128" s="2385">
        <v>0</v>
      </c>
      <c r="G128" s="2385">
        <v>0</v>
      </c>
      <c r="H128" s="2385">
        <v>0</v>
      </c>
      <c r="I128" s="2385">
        <v>0</v>
      </c>
      <c r="J128" s="2385">
        <v>0</v>
      </c>
      <c r="K128" s="2385">
        <v>0</v>
      </c>
      <c r="L128" s="2386">
        <f>'Příjmy kapitol celkem'!M112</f>
        <v>0</v>
      </c>
      <c r="M128" s="2353">
        <f t="shared" si="1"/>
        <v>0</v>
      </c>
    </row>
    <row r="129" spans="1:14" ht="19.5" customHeight="1" outlineLevel="1">
      <c r="A129" s="2357"/>
      <c r="B129" s="2383" t="s">
        <v>2101</v>
      </c>
      <c r="C129" s="2384">
        <v>4122</v>
      </c>
      <c r="D129" s="2385">
        <v>1916100</v>
      </c>
      <c r="E129" s="2385">
        <v>1916100</v>
      </c>
      <c r="F129" s="2385">
        <v>1744000</v>
      </c>
      <c r="G129" s="2385">
        <v>1744000</v>
      </c>
      <c r="H129" s="2385">
        <v>1744000</v>
      </c>
      <c r="I129" s="2385">
        <v>1744000</v>
      </c>
      <c r="J129" s="2385">
        <v>1744000</v>
      </c>
      <c r="K129" s="2385">
        <v>1744000</v>
      </c>
      <c r="L129" s="2386">
        <f>'Příjmy kapitol celkem'!M113</f>
        <v>1626700</v>
      </c>
      <c r="M129" s="2353">
        <f t="shared" si="1"/>
        <v>-117300</v>
      </c>
    </row>
    <row r="130" spans="1:14" ht="3" customHeight="1" outlineLevel="1">
      <c r="A130" s="2357"/>
      <c r="B130" s="2370"/>
      <c r="C130" s="2371"/>
      <c r="D130" s="2372"/>
      <c r="E130" s="2372"/>
      <c r="F130" s="2372"/>
      <c r="G130" s="2372"/>
      <c r="H130" s="2372"/>
      <c r="I130" s="2372"/>
      <c r="J130" s="2372"/>
      <c r="K130" s="2372"/>
      <c r="L130" s="2373"/>
      <c r="M130" s="2353">
        <f t="shared" si="1"/>
        <v>0</v>
      </c>
    </row>
    <row r="131" spans="1:14" s="2234" customFormat="1" ht="15" thickBot="1">
      <c r="A131" s="2374" t="s">
        <v>232</v>
      </c>
      <c r="B131" s="2375" t="s">
        <v>233</v>
      </c>
      <c r="C131" s="2376"/>
      <c r="D131" s="2377">
        <v>14800000</v>
      </c>
      <c r="E131" s="2377">
        <v>132960000</v>
      </c>
      <c r="F131" s="2377">
        <v>139348654</v>
      </c>
      <c r="G131" s="2377">
        <v>131788654</v>
      </c>
      <c r="H131" s="2377">
        <v>131788654</v>
      </c>
      <c r="I131" s="2377">
        <v>131788654</v>
      </c>
      <c r="J131" s="2377">
        <v>131788654</v>
      </c>
      <c r="K131" s="2377">
        <v>34270530</v>
      </c>
      <c r="L131" s="2378">
        <f>SUM(L132:L136)</f>
        <v>48341104</v>
      </c>
      <c r="M131" s="2353">
        <f t="shared" si="1"/>
        <v>14070574</v>
      </c>
      <c r="N131" s="2167"/>
    </row>
    <row r="132" spans="1:14" ht="17.25" customHeight="1" thickTop="1">
      <c r="A132" s="2162"/>
      <c r="B132" s="2393" t="s">
        <v>234</v>
      </c>
      <c r="C132" s="2380" t="s">
        <v>38</v>
      </c>
      <c r="D132" s="2201">
        <v>14800000</v>
      </c>
      <c r="E132" s="2381">
        <v>15000000</v>
      </c>
      <c r="F132" s="2381">
        <v>15000000</v>
      </c>
      <c r="G132" s="2381">
        <v>15000000</v>
      </c>
      <c r="H132" s="2381">
        <v>15000000</v>
      </c>
      <c r="I132" s="2381">
        <v>15000000</v>
      </c>
      <c r="J132" s="2381">
        <v>15000000</v>
      </c>
      <c r="K132" s="2381">
        <v>15000000</v>
      </c>
      <c r="L132" s="2395">
        <f>'Příjmy kapitol celkem'!M117</f>
        <v>15000000</v>
      </c>
      <c r="M132" s="2353">
        <f t="shared" si="1"/>
        <v>0</v>
      </c>
      <c r="N132" s="2234"/>
    </row>
    <row r="133" spans="1:14" ht="17.25" hidden="1" customHeight="1">
      <c r="A133" s="2162"/>
      <c r="B133" s="2383" t="s">
        <v>776</v>
      </c>
      <c r="C133" s="2384" t="s">
        <v>38</v>
      </c>
      <c r="D133" s="2211">
        <v>0</v>
      </c>
      <c r="E133" s="2385">
        <v>0</v>
      </c>
      <c r="F133" s="2385">
        <v>0</v>
      </c>
      <c r="G133" s="2385">
        <v>0</v>
      </c>
      <c r="H133" s="2385">
        <v>0</v>
      </c>
      <c r="I133" s="2385">
        <v>0</v>
      </c>
      <c r="J133" s="2385">
        <v>0</v>
      </c>
      <c r="K133" s="2385">
        <v>0</v>
      </c>
      <c r="L133" s="2386">
        <f>'Příjmy kapitol celkem'!M118</f>
        <v>0</v>
      </c>
      <c r="M133" s="2353">
        <f t="shared" si="1"/>
        <v>0</v>
      </c>
    </row>
    <row r="134" spans="1:14" ht="17.25" hidden="1" customHeight="1">
      <c r="A134" s="2162"/>
      <c r="B134" s="2383" t="s">
        <v>774</v>
      </c>
      <c r="C134" s="2384" t="s">
        <v>60</v>
      </c>
      <c r="D134" s="2211">
        <v>0</v>
      </c>
      <c r="E134" s="2385">
        <v>7560000</v>
      </c>
      <c r="F134" s="2385">
        <v>7560000</v>
      </c>
      <c r="G134" s="2385">
        <v>0</v>
      </c>
      <c r="H134" s="2385">
        <v>0</v>
      </c>
      <c r="I134" s="2385">
        <v>0</v>
      </c>
      <c r="J134" s="2385">
        <v>0</v>
      </c>
      <c r="K134" s="2385">
        <v>0</v>
      </c>
      <c r="L134" s="2386">
        <f>'Příjmy kapitol celkem'!M119</f>
        <v>0</v>
      </c>
      <c r="M134" s="2353">
        <f t="shared" si="1"/>
        <v>0</v>
      </c>
    </row>
    <row r="135" spans="1:14">
      <c r="A135" s="2162"/>
      <c r="B135" s="2383" t="s">
        <v>2545</v>
      </c>
      <c r="C135" s="2384" t="s">
        <v>60</v>
      </c>
      <c r="D135" s="2211"/>
      <c r="E135" s="2385">
        <v>81000000</v>
      </c>
      <c r="F135" s="2385">
        <v>87388654</v>
      </c>
      <c r="G135" s="2385">
        <v>87388654</v>
      </c>
      <c r="H135" s="2385">
        <v>87388654</v>
      </c>
      <c r="I135" s="2385">
        <v>87388654</v>
      </c>
      <c r="J135" s="2385">
        <v>87388654</v>
      </c>
      <c r="K135" s="2385">
        <v>19270530</v>
      </c>
      <c r="L135" s="2386">
        <f>+'Příjmy kapitol celkem'!M120</f>
        <v>33341104</v>
      </c>
      <c r="M135" s="2353">
        <f t="shared" si="1"/>
        <v>14070574</v>
      </c>
    </row>
    <row r="136" spans="1:14">
      <c r="A136" s="2162"/>
      <c r="B136" s="2383" t="s">
        <v>2643</v>
      </c>
      <c r="C136" s="2384" t="s">
        <v>115</v>
      </c>
      <c r="D136" s="2372"/>
      <c r="E136" s="2372">
        <v>29400000</v>
      </c>
      <c r="F136" s="2372">
        <v>29400000</v>
      </c>
      <c r="G136" s="2372">
        <v>29400000</v>
      </c>
      <c r="H136" s="2372">
        <v>29400000</v>
      </c>
      <c r="I136" s="2372">
        <v>29400000</v>
      </c>
      <c r="J136" s="2372">
        <v>29400000</v>
      </c>
      <c r="K136" s="2372">
        <v>0</v>
      </c>
      <c r="L136" s="2373">
        <f>'Příjmy kapitol celkem'!M121</f>
        <v>0</v>
      </c>
      <c r="M136" s="2353">
        <f t="shared" si="1"/>
        <v>0</v>
      </c>
    </row>
    <row r="137" spans="1:14" s="2234" customFormat="1" ht="15" thickBot="1">
      <c r="A137" s="2374" t="s">
        <v>235</v>
      </c>
      <c r="B137" s="2375"/>
      <c r="C137" s="2376"/>
      <c r="D137" s="2377">
        <v>243932554</v>
      </c>
      <c r="E137" s="2377">
        <v>415954204</v>
      </c>
      <c r="F137" s="2377">
        <v>440068727</v>
      </c>
      <c r="G137" s="2377">
        <v>432844418</v>
      </c>
      <c r="H137" s="2377">
        <v>432844418</v>
      </c>
      <c r="I137" s="2377">
        <v>435495078</v>
      </c>
      <c r="J137" s="2377">
        <v>435495078</v>
      </c>
      <c r="K137" s="2377">
        <v>351208186</v>
      </c>
      <c r="L137" s="2378">
        <f>+L131+L94+L88+L30+L6</f>
        <v>317273918</v>
      </c>
      <c r="M137" s="2353">
        <f t="shared" ref="M137:M138" si="2">+L137-K137</f>
        <v>-33934268</v>
      </c>
      <c r="N137" s="2167"/>
    </row>
    <row r="138" spans="1:14" s="2291" customFormat="1" ht="12.75" customHeight="1" thickTop="1">
      <c r="A138" s="2164"/>
      <c r="B138" s="2396" t="s">
        <v>236</v>
      </c>
      <c r="C138" s="2397"/>
      <c r="D138" s="2288">
        <v>0</v>
      </c>
      <c r="E138" s="2288">
        <v>0</v>
      </c>
      <c r="F138" s="2288">
        <v>0</v>
      </c>
      <c r="G138" s="2288">
        <v>0</v>
      </c>
      <c r="H138" s="2288">
        <v>0</v>
      </c>
      <c r="I138" s="2288">
        <v>0</v>
      </c>
      <c r="J138" s="2288">
        <v>0</v>
      </c>
      <c r="K138" s="2288">
        <v>0</v>
      </c>
      <c r="L138" s="2288">
        <f>+L137-'Příjmy kapitol celkem'!M122</f>
        <v>0</v>
      </c>
      <c r="M138" s="2353">
        <f t="shared" si="2"/>
        <v>0</v>
      </c>
      <c r="N138" s="2234"/>
    </row>
    <row r="139" spans="1:14" ht="15" thickBot="1">
      <c r="A139" s="2162"/>
      <c r="B139" s="2162"/>
      <c r="C139" s="2340"/>
      <c r="D139" s="2398"/>
      <c r="E139" s="2398"/>
      <c r="F139" s="2398"/>
      <c r="G139" s="2398"/>
      <c r="H139" s="2398"/>
      <c r="I139" s="2398"/>
      <c r="J139" s="2398"/>
      <c r="K139" s="2398"/>
      <c r="L139" s="2399"/>
      <c r="M139" s="2353"/>
      <c r="N139" s="2291"/>
    </row>
    <row r="140" spans="1:14" ht="39" customHeight="1" thickBot="1">
      <c r="A140" s="2400" t="s">
        <v>237</v>
      </c>
      <c r="B140" s="2401"/>
      <c r="C140" s="2402" t="s">
        <v>63</v>
      </c>
      <c r="D140" s="2403" t="s">
        <v>1934</v>
      </c>
      <c r="E140" s="2403" t="s">
        <v>2346</v>
      </c>
      <c r="F140" s="2403" t="s">
        <v>1934</v>
      </c>
      <c r="G140" s="2403" t="s">
        <v>2644</v>
      </c>
      <c r="H140" s="2403" t="s">
        <v>2766</v>
      </c>
      <c r="I140" s="2403" t="s">
        <v>2107</v>
      </c>
      <c r="J140" s="2403" t="s">
        <v>2830</v>
      </c>
      <c r="K140" s="2403" t="s">
        <v>2855</v>
      </c>
      <c r="L140" s="2404" t="str">
        <f>L4</f>
        <v>RO č.7</v>
      </c>
      <c r="M140" s="2353"/>
    </row>
    <row r="141" spans="1:14" ht="15" thickBot="1">
      <c r="A141" s="2162"/>
      <c r="B141" s="2162"/>
      <c r="C141" s="2340"/>
      <c r="D141" s="2206"/>
      <c r="E141" s="2206"/>
      <c r="F141" s="2206"/>
      <c r="G141" s="2206"/>
      <c r="H141" s="2206"/>
      <c r="I141" s="2206"/>
      <c r="J141" s="2206"/>
      <c r="K141" s="2206"/>
      <c r="L141" s="2206"/>
      <c r="M141" s="2353"/>
    </row>
    <row r="142" spans="1:14" s="2234" customFormat="1" ht="15" thickBot="1">
      <c r="A142" s="2405" t="s">
        <v>238</v>
      </c>
      <c r="B142" s="2406" t="s">
        <v>239</v>
      </c>
      <c r="C142" s="2407"/>
      <c r="D142" s="2408">
        <v>157240969.61176002</v>
      </c>
      <c r="E142" s="2408">
        <v>211246024.9982</v>
      </c>
      <c r="F142" s="2408">
        <v>216404576.9982</v>
      </c>
      <c r="G142" s="2408">
        <v>219573986.9982</v>
      </c>
      <c r="H142" s="2408">
        <v>219573986.9982</v>
      </c>
      <c r="I142" s="2408">
        <v>229296286.9982</v>
      </c>
      <c r="J142" s="2408">
        <v>240125786.9982</v>
      </c>
      <c r="K142" s="2408">
        <v>224257818.08294398</v>
      </c>
      <c r="L142" s="2409">
        <f>+L143+L153</f>
        <v>193288144.016444</v>
      </c>
      <c r="M142" s="2353">
        <f t="shared" ref="M142:M208" si="3">+L142-K142</f>
        <v>-30969674.066499978</v>
      </c>
      <c r="N142" s="2167"/>
    </row>
    <row r="143" spans="1:14" s="2234" customFormat="1" ht="15" thickBot="1">
      <c r="A143" s="2410"/>
      <c r="B143" s="2411" t="s">
        <v>734</v>
      </c>
      <c r="C143" s="2412"/>
      <c r="D143" s="2413">
        <v>44009290</v>
      </c>
      <c r="E143" s="2413">
        <v>50799491.299999997</v>
      </c>
      <c r="F143" s="2413">
        <v>50799491.299999997</v>
      </c>
      <c r="G143" s="2413">
        <v>50799491.299999997</v>
      </c>
      <c r="H143" s="2413">
        <v>50799491.299999997</v>
      </c>
      <c r="I143" s="2413">
        <v>50271491.299999997</v>
      </c>
      <c r="J143" s="2413">
        <v>50271491.299999997</v>
      </c>
      <c r="K143" s="2413">
        <v>50271491.299999997</v>
      </c>
      <c r="L143" s="2414">
        <f>SUM(L144:L151)</f>
        <v>49109225</v>
      </c>
      <c r="M143" s="2353">
        <f>+L143-K143</f>
        <v>-1162266.299999997</v>
      </c>
      <c r="N143" s="2321"/>
    </row>
    <row r="144" spans="1:14" s="2420" customFormat="1" ht="15" outlineLevel="1" thickTop="1">
      <c r="A144" s="2415"/>
      <c r="B144" s="2416" t="s">
        <v>64</v>
      </c>
      <c r="C144" s="2417">
        <v>5011</v>
      </c>
      <c r="D144" s="2418">
        <v>27925000</v>
      </c>
      <c r="E144" s="2418">
        <v>31800000</v>
      </c>
      <c r="F144" s="2418">
        <v>31800000</v>
      </c>
      <c r="G144" s="2418">
        <v>31800000</v>
      </c>
      <c r="H144" s="2418">
        <v>31800000</v>
      </c>
      <c r="I144" s="2418">
        <v>31800000</v>
      </c>
      <c r="J144" s="2418">
        <v>31800000</v>
      </c>
      <c r="K144" s="2418">
        <v>31800000</v>
      </c>
      <c r="L144" s="2419">
        <f>'Výdaje kapitol celkem'!K8</f>
        <v>30900000</v>
      </c>
      <c r="M144" s="2353">
        <f t="shared" si="3"/>
        <v>-900000</v>
      </c>
      <c r="N144" s="2234"/>
    </row>
    <row r="145" spans="1:15" s="2420" customFormat="1" outlineLevel="1">
      <c r="A145" s="2415"/>
      <c r="B145" s="2421" t="s">
        <v>65</v>
      </c>
      <c r="C145" s="2422">
        <v>5021</v>
      </c>
      <c r="D145" s="2423">
        <v>1865000</v>
      </c>
      <c r="E145" s="2423">
        <v>2604500</v>
      </c>
      <c r="F145" s="2423">
        <v>2604500</v>
      </c>
      <c r="G145" s="2423">
        <v>2604500</v>
      </c>
      <c r="H145" s="2423">
        <v>2604500</v>
      </c>
      <c r="I145" s="2423">
        <v>2076500</v>
      </c>
      <c r="J145" s="2423">
        <v>2076500</v>
      </c>
      <c r="K145" s="2423">
        <v>2076500</v>
      </c>
      <c r="L145" s="2424">
        <f>'Výdaje kapitol celkem'!K9</f>
        <v>2236478</v>
      </c>
      <c r="M145" s="2353">
        <f t="shared" si="3"/>
        <v>159978</v>
      </c>
    </row>
    <row r="146" spans="1:15" ht="18" customHeight="1" outlineLevel="1">
      <c r="A146" s="2357"/>
      <c r="B146" s="2383" t="s">
        <v>478</v>
      </c>
      <c r="C146" s="2384">
        <v>5023</v>
      </c>
      <c r="D146" s="2385">
        <v>3020000</v>
      </c>
      <c r="E146" s="2385">
        <v>3500000</v>
      </c>
      <c r="F146" s="2385">
        <v>3500000</v>
      </c>
      <c r="G146" s="2385">
        <v>3500000</v>
      </c>
      <c r="H146" s="2385">
        <v>3500000</v>
      </c>
      <c r="I146" s="2385">
        <v>3500000</v>
      </c>
      <c r="J146" s="2385">
        <v>3500000</v>
      </c>
      <c r="K146" s="2385">
        <v>3500000</v>
      </c>
      <c r="L146" s="2386">
        <f>'Výdaje kapitol celkem'!K10</f>
        <v>3500000</v>
      </c>
      <c r="M146" s="2353">
        <f t="shared" si="3"/>
        <v>0</v>
      </c>
      <c r="N146" s="2420"/>
    </row>
    <row r="147" spans="1:15" ht="18" hidden="1" customHeight="1" outlineLevel="1">
      <c r="A147" s="2357"/>
      <c r="B147" s="2354" t="s">
        <v>733</v>
      </c>
      <c r="C147" s="2355">
        <v>5024</v>
      </c>
      <c r="D147" s="2213">
        <v>0</v>
      </c>
      <c r="E147" s="2213">
        <v>0</v>
      </c>
      <c r="F147" s="2213">
        <v>0</v>
      </c>
      <c r="G147" s="2213">
        <v>0</v>
      </c>
      <c r="H147" s="2213">
        <v>0</v>
      </c>
      <c r="I147" s="2213">
        <v>0</v>
      </c>
      <c r="J147" s="2213">
        <v>0</v>
      </c>
      <c r="K147" s="2213">
        <v>0</v>
      </c>
      <c r="L147" s="2356">
        <f>'Výdaje kapitol celkem'!K11</f>
        <v>0</v>
      </c>
      <c r="M147" s="2353">
        <f t="shared" si="3"/>
        <v>0</v>
      </c>
    </row>
    <row r="148" spans="1:15" ht="18" customHeight="1" outlineLevel="1">
      <c r="A148" s="2357"/>
      <c r="B148" s="2383" t="s">
        <v>66</v>
      </c>
      <c r="C148" s="2384">
        <v>5029</v>
      </c>
      <c r="D148" s="2385">
        <v>30000</v>
      </c>
      <c r="E148" s="2385">
        <v>30000</v>
      </c>
      <c r="F148" s="2385">
        <v>30000</v>
      </c>
      <c r="G148" s="2385">
        <v>30000</v>
      </c>
      <c r="H148" s="2385">
        <v>30000</v>
      </c>
      <c r="I148" s="2385">
        <v>30000</v>
      </c>
      <c r="J148" s="2385">
        <v>30000</v>
      </c>
      <c r="K148" s="2385">
        <v>30000</v>
      </c>
      <c r="L148" s="2386">
        <f>'Výdaje kapitol celkem'!K12</f>
        <v>46211</v>
      </c>
      <c r="M148" s="2353">
        <f t="shared" si="3"/>
        <v>16211</v>
      </c>
    </row>
    <row r="149" spans="1:15" ht="18" customHeight="1" outlineLevel="1">
      <c r="A149" s="2357"/>
      <c r="B149" s="2383" t="s">
        <v>67</v>
      </c>
      <c r="C149" s="2384">
        <v>5031</v>
      </c>
      <c r="D149" s="2385">
        <v>8112500</v>
      </c>
      <c r="E149" s="2385">
        <v>9344125</v>
      </c>
      <c r="F149" s="2385">
        <v>9344125</v>
      </c>
      <c r="G149" s="2385">
        <v>9344125</v>
      </c>
      <c r="H149" s="2385">
        <v>9344125</v>
      </c>
      <c r="I149" s="2385">
        <v>9344125</v>
      </c>
      <c r="J149" s="2385">
        <v>9344125</v>
      </c>
      <c r="K149" s="2385">
        <v>9344125</v>
      </c>
      <c r="L149" s="2386">
        <f>'Výdaje kapitol celkem'!K13</f>
        <v>9019225</v>
      </c>
      <c r="M149" s="2353">
        <f t="shared" si="3"/>
        <v>-324900</v>
      </c>
    </row>
    <row r="150" spans="1:15" ht="18" customHeight="1" outlineLevel="1">
      <c r="A150" s="2357"/>
      <c r="B150" s="2383" t="s">
        <v>68</v>
      </c>
      <c r="C150" s="2384">
        <v>5032</v>
      </c>
      <c r="D150" s="2385">
        <v>2920500</v>
      </c>
      <c r="E150" s="2385">
        <v>3363885</v>
      </c>
      <c r="F150" s="2385">
        <v>3363885</v>
      </c>
      <c r="G150" s="2385">
        <v>3363885</v>
      </c>
      <c r="H150" s="2385">
        <v>3363885</v>
      </c>
      <c r="I150" s="2385">
        <v>3363885</v>
      </c>
      <c r="J150" s="2385">
        <v>3363885</v>
      </c>
      <c r="K150" s="2385">
        <v>3363885</v>
      </c>
      <c r="L150" s="2386">
        <f>'Výdaje kapitol celkem'!K14</f>
        <v>3250540</v>
      </c>
      <c r="M150" s="2353">
        <f t="shared" si="3"/>
        <v>-113345</v>
      </c>
    </row>
    <row r="151" spans="1:15" ht="18" customHeight="1" outlineLevel="1">
      <c r="A151" s="2357"/>
      <c r="B151" s="2383" t="s">
        <v>69</v>
      </c>
      <c r="C151" s="2384">
        <v>5038</v>
      </c>
      <c r="D151" s="2385">
        <v>136289.99999999997</v>
      </c>
      <c r="E151" s="2385">
        <v>156981.29999999999</v>
      </c>
      <c r="F151" s="2385">
        <v>156981.29999999999</v>
      </c>
      <c r="G151" s="2385">
        <v>156981.29999999999</v>
      </c>
      <c r="H151" s="2385">
        <v>156981.29999999999</v>
      </c>
      <c r="I151" s="2385">
        <v>156981.29999999999</v>
      </c>
      <c r="J151" s="2385">
        <v>156981.29999999999</v>
      </c>
      <c r="K151" s="2385">
        <v>156981.29999999999</v>
      </c>
      <c r="L151" s="2386">
        <f>'Výdaje kapitol celkem'!K15</f>
        <v>156771</v>
      </c>
      <c r="M151" s="2353">
        <f t="shared" si="3"/>
        <v>-210.29999999998836</v>
      </c>
    </row>
    <row r="152" spans="1:15" outlineLevel="1">
      <c r="A152" s="2357"/>
      <c r="B152" s="2425"/>
      <c r="C152" s="2340"/>
      <c r="D152" s="2206"/>
      <c r="E152" s="2206"/>
      <c r="F152" s="2206"/>
      <c r="G152" s="2206"/>
      <c r="H152" s="2206"/>
      <c r="I152" s="2206"/>
      <c r="J152" s="2206"/>
      <c r="K152" s="2206"/>
      <c r="L152" s="2426"/>
      <c r="M152" s="2353">
        <f t="shared" si="3"/>
        <v>0</v>
      </c>
    </row>
    <row r="153" spans="1:15" s="2234" customFormat="1" ht="15" thickBot="1">
      <c r="A153" s="2410"/>
      <c r="B153" s="2427" t="s">
        <v>240</v>
      </c>
      <c r="C153" s="2376"/>
      <c r="D153" s="2377">
        <v>113231679.61176001</v>
      </c>
      <c r="E153" s="2377">
        <v>160446533.69819999</v>
      </c>
      <c r="F153" s="2377">
        <v>165605085.69819999</v>
      </c>
      <c r="G153" s="2377">
        <v>168774495.69819999</v>
      </c>
      <c r="H153" s="2377">
        <v>168774495.69819999</v>
      </c>
      <c r="I153" s="2377">
        <v>179024795.69819999</v>
      </c>
      <c r="J153" s="2377">
        <v>189854295.69819999</v>
      </c>
      <c r="K153" s="2377">
        <v>173986326.78294399</v>
      </c>
      <c r="L153" s="2378">
        <f>SUM(L154:L193)</f>
        <v>144178919.016444</v>
      </c>
      <c r="M153" s="2353">
        <f t="shared" si="3"/>
        <v>-29807407.766499996</v>
      </c>
      <c r="N153" s="2167"/>
      <c r="O153" s="2321"/>
    </row>
    <row r="154" spans="1:15" ht="18" hidden="1" customHeight="1" outlineLevel="1" thickTop="1">
      <c r="A154" s="2357"/>
      <c r="B154" s="2393" t="s">
        <v>71</v>
      </c>
      <c r="C154" s="2380">
        <v>5178</v>
      </c>
      <c r="D154" s="2381">
        <v>0</v>
      </c>
      <c r="E154" s="2381">
        <v>0</v>
      </c>
      <c r="F154" s="2381">
        <v>0</v>
      </c>
      <c r="G154" s="2381">
        <v>0</v>
      </c>
      <c r="H154" s="2381">
        <v>0</v>
      </c>
      <c r="I154" s="2381">
        <v>0</v>
      </c>
      <c r="J154" s="2381">
        <v>0</v>
      </c>
      <c r="K154" s="2381">
        <v>0</v>
      </c>
      <c r="L154" s="2382">
        <f>'Výdaje kapitol celkem'!R17</f>
        <v>0</v>
      </c>
      <c r="M154" s="2353">
        <f t="shared" si="3"/>
        <v>0</v>
      </c>
      <c r="N154" s="2321"/>
    </row>
    <row r="155" spans="1:15" ht="18" hidden="1" customHeight="1" outlineLevel="1">
      <c r="A155" s="2357"/>
      <c r="B155" s="2383" t="s">
        <v>72</v>
      </c>
      <c r="C155" s="2384">
        <v>5132</v>
      </c>
      <c r="D155" s="2385">
        <v>0</v>
      </c>
      <c r="E155" s="2385">
        <v>0</v>
      </c>
      <c r="F155" s="2385">
        <v>0</v>
      </c>
      <c r="G155" s="2385">
        <v>0</v>
      </c>
      <c r="H155" s="2385">
        <v>0</v>
      </c>
      <c r="I155" s="2385">
        <v>0</v>
      </c>
      <c r="J155" s="2385">
        <v>0</v>
      </c>
      <c r="K155" s="2385">
        <v>0</v>
      </c>
      <c r="L155" s="2386">
        <f>'Výdaje kapitol celkem'!R18</f>
        <v>0</v>
      </c>
      <c r="M155" s="2353">
        <f t="shared" si="3"/>
        <v>0</v>
      </c>
    </row>
    <row r="156" spans="1:15" ht="18" customHeight="1" outlineLevel="1" thickTop="1">
      <c r="A156" s="2357"/>
      <c r="B156" s="2383" t="s">
        <v>73</v>
      </c>
      <c r="C156" s="2384">
        <v>5134</v>
      </c>
      <c r="D156" s="2385">
        <v>195000</v>
      </c>
      <c r="E156" s="2385">
        <v>395000</v>
      </c>
      <c r="F156" s="2385">
        <v>395000</v>
      </c>
      <c r="G156" s="2385">
        <v>395000</v>
      </c>
      <c r="H156" s="2385">
        <v>395000</v>
      </c>
      <c r="I156" s="2385">
        <v>395000</v>
      </c>
      <c r="J156" s="2385">
        <v>395000</v>
      </c>
      <c r="K156" s="2385">
        <v>395000</v>
      </c>
      <c r="L156" s="2386">
        <f>'Výdaje kapitol celkem'!K19</f>
        <v>232000</v>
      </c>
      <c r="M156" s="2353">
        <f t="shared" si="3"/>
        <v>-163000</v>
      </c>
    </row>
    <row r="157" spans="1:15" ht="18" customHeight="1" outlineLevel="1">
      <c r="A157" s="2357"/>
      <c r="B157" s="2383" t="s">
        <v>74</v>
      </c>
      <c r="C157" s="2384">
        <v>5136</v>
      </c>
      <c r="D157" s="2385">
        <v>313000</v>
      </c>
      <c r="E157" s="2385">
        <v>363000</v>
      </c>
      <c r="F157" s="2385">
        <v>363000</v>
      </c>
      <c r="G157" s="2385">
        <v>363000</v>
      </c>
      <c r="H157" s="2385">
        <v>363000</v>
      </c>
      <c r="I157" s="2385">
        <v>363000</v>
      </c>
      <c r="J157" s="2385">
        <v>363000</v>
      </c>
      <c r="K157" s="2385">
        <v>363000</v>
      </c>
      <c r="L157" s="2386">
        <f>'Výdaje kapitol celkem'!K20</f>
        <v>315000</v>
      </c>
      <c r="M157" s="2353">
        <f t="shared" si="3"/>
        <v>-48000</v>
      </c>
    </row>
    <row r="158" spans="1:15" outlineLevel="1">
      <c r="A158" s="2415"/>
      <c r="B158" s="2421" t="s">
        <v>75</v>
      </c>
      <c r="C158" s="2422">
        <v>5137</v>
      </c>
      <c r="D158" s="2423">
        <v>2110000</v>
      </c>
      <c r="E158" s="2423">
        <v>2317000</v>
      </c>
      <c r="F158" s="2423">
        <v>2317000</v>
      </c>
      <c r="G158" s="2423">
        <v>2317000</v>
      </c>
      <c r="H158" s="2423">
        <v>2317000</v>
      </c>
      <c r="I158" s="2423">
        <v>2317000</v>
      </c>
      <c r="J158" s="2423">
        <v>2317000</v>
      </c>
      <c r="K158" s="2423">
        <v>2107000</v>
      </c>
      <c r="L158" s="2424">
        <f>'Výdaje kapitol celkem'!K21</f>
        <v>1326000</v>
      </c>
      <c r="M158" s="2353">
        <f t="shared" si="3"/>
        <v>-781000</v>
      </c>
    </row>
    <row r="159" spans="1:15" ht="18" customHeight="1" outlineLevel="1">
      <c r="A159" s="2357"/>
      <c r="B159" s="2383" t="s">
        <v>76</v>
      </c>
      <c r="C159" s="2384">
        <v>5139</v>
      </c>
      <c r="D159" s="2385">
        <v>2119000</v>
      </c>
      <c r="E159" s="2385">
        <v>3866000</v>
      </c>
      <c r="F159" s="2385">
        <v>3866000</v>
      </c>
      <c r="G159" s="2385">
        <v>3866000</v>
      </c>
      <c r="H159" s="2385">
        <v>3866000</v>
      </c>
      <c r="I159" s="2385">
        <v>3866000</v>
      </c>
      <c r="J159" s="2385">
        <v>3866000</v>
      </c>
      <c r="K159" s="2385">
        <v>3846000</v>
      </c>
      <c r="L159" s="2386">
        <f>'Výdaje kapitol celkem'!K22</f>
        <v>2006000</v>
      </c>
      <c r="M159" s="2353">
        <f t="shared" si="3"/>
        <v>-1840000</v>
      </c>
    </row>
    <row r="160" spans="1:15" ht="18" customHeight="1" outlineLevel="1">
      <c r="A160" s="2357"/>
      <c r="B160" s="2383" t="s">
        <v>77</v>
      </c>
      <c r="C160" s="2384">
        <v>5151</v>
      </c>
      <c r="D160" s="2385">
        <v>710000</v>
      </c>
      <c r="E160" s="2385">
        <v>688000</v>
      </c>
      <c r="F160" s="2385">
        <v>688000</v>
      </c>
      <c r="G160" s="2385">
        <v>688000</v>
      </c>
      <c r="H160" s="2385">
        <v>688000</v>
      </c>
      <c r="I160" s="2385">
        <v>688000</v>
      </c>
      <c r="J160" s="2385">
        <v>688000</v>
      </c>
      <c r="K160" s="2385">
        <v>688000</v>
      </c>
      <c r="L160" s="2386">
        <f>'Výdaje kapitol celkem'!K23</f>
        <v>836000</v>
      </c>
      <c r="M160" s="2353">
        <f t="shared" si="3"/>
        <v>148000</v>
      </c>
    </row>
    <row r="161" spans="1:14" ht="18" customHeight="1" outlineLevel="1">
      <c r="A161" s="2357"/>
      <c r="B161" s="2383" t="s">
        <v>78</v>
      </c>
      <c r="C161" s="2384">
        <v>5153</v>
      </c>
      <c r="D161" s="2385">
        <v>5440450</v>
      </c>
      <c r="E161" s="2385">
        <v>4034750</v>
      </c>
      <c r="F161" s="2385">
        <v>4036990</v>
      </c>
      <c r="G161" s="2385">
        <v>4036990</v>
      </c>
      <c r="H161" s="2385">
        <v>4036990</v>
      </c>
      <c r="I161" s="2385">
        <v>4036990</v>
      </c>
      <c r="J161" s="2385">
        <v>4036990</v>
      </c>
      <c r="K161" s="2385">
        <v>4036990</v>
      </c>
      <c r="L161" s="2386">
        <f>'Výdaje kapitol celkem'!K24</f>
        <v>2437000</v>
      </c>
      <c r="M161" s="2353">
        <f t="shared" si="3"/>
        <v>-1599990</v>
      </c>
    </row>
    <row r="162" spans="1:14" ht="18" customHeight="1" outlineLevel="1">
      <c r="A162" s="2357"/>
      <c r="B162" s="2383" t="s">
        <v>79</v>
      </c>
      <c r="C162" s="2384">
        <v>5154</v>
      </c>
      <c r="D162" s="2385">
        <v>7444800</v>
      </c>
      <c r="E162" s="2385">
        <v>5656300</v>
      </c>
      <c r="F162" s="2385">
        <v>5680300</v>
      </c>
      <c r="G162" s="2385">
        <v>5680300</v>
      </c>
      <c r="H162" s="2385">
        <v>5680300</v>
      </c>
      <c r="I162" s="2385">
        <v>5680300</v>
      </c>
      <c r="J162" s="2385">
        <v>5680300</v>
      </c>
      <c r="K162" s="2385">
        <v>5680300</v>
      </c>
      <c r="L162" s="2386">
        <f>'Výdaje kapitol celkem'!K25</f>
        <v>3220600</v>
      </c>
      <c r="M162" s="2353">
        <f t="shared" si="3"/>
        <v>-2459700</v>
      </c>
    </row>
    <row r="163" spans="1:14" ht="18" customHeight="1" outlineLevel="1">
      <c r="A163" s="2357"/>
      <c r="B163" s="2383" t="s">
        <v>80</v>
      </c>
      <c r="C163" s="2384">
        <v>5156</v>
      </c>
      <c r="D163" s="2385">
        <v>640000</v>
      </c>
      <c r="E163" s="2385">
        <v>647000</v>
      </c>
      <c r="F163" s="2385">
        <v>717000</v>
      </c>
      <c r="G163" s="2385">
        <v>717000</v>
      </c>
      <c r="H163" s="2385">
        <v>717000</v>
      </c>
      <c r="I163" s="2385">
        <v>717000</v>
      </c>
      <c r="J163" s="2385">
        <v>717000</v>
      </c>
      <c r="K163" s="2385">
        <v>717000</v>
      </c>
      <c r="L163" s="2386">
        <f>'Výdaje kapitol celkem'!K26</f>
        <v>379000</v>
      </c>
      <c r="M163" s="2353">
        <f t="shared" si="3"/>
        <v>-338000</v>
      </c>
    </row>
    <row r="164" spans="1:14" ht="18" customHeight="1" outlineLevel="1">
      <c r="A164" s="2357"/>
      <c r="B164" s="2383" t="s">
        <v>81</v>
      </c>
      <c r="C164" s="2384">
        <v>5161</v>
      </c>
      <c r="D164" s="2385">
        <v>695000</v>
      </c>
      <c r="E164" s="2385">
        <v>745000</v>
      </c>
      <c r="F164" s="2385">
        <v>745000</v>
      </c>
      <c r="G164" s="2385">
        <v>745000</v>
      </c>
      <c r="H164" s="2385">
        <v>745000</v>
      </c>
      <c r="I164" s="2385">
        <v>745000</v>
      </c>
      <c r="J164" s="2385">
        <v>745000</v>
      </c>
      <c r="K164" s="2385">
        <v>745000</v>
      </c>
      <c r="L164" s="2386">
        <f>'Výdaje kapitol celkem'!K27</f>
        <v>585000</v>
      </c>
      <c r="M164" s="2353">
        <f t="shared" si="3"/>
        <v>-160000</v>
      </c>
    </row>
    <row r="165" spans="1:14" ht="18" customHeight="1" outlineLevel="1">
      <c r="A165" s="2357"/>
      <c r="B165" s="2383" t="s">
        <v>82</v>
      </c>
      <c r="C165" s="2384">
        <v>5162</v>
      </c>
      <c r="D165" s="2385">
        <v>564000</v>
      </c>
      <c r="E165" s="2385">
        <v>808545</v>
      </c>
      <c r="F165" s="2385">
        <v>808545</v>
      </c>
      <c r="G165" s="2385">
        <v>808545</v>
      </c>
      <c r="H165" s="2385">
        <v>808545</v>
      </c>
      <c r="I165" s="2385">
        <v>808545</v>
      </c>
      <c r="J165" s="2385">
        <v>808545</v>
      </c>
      <c r="K165" s="2385">
        <v>808545</v>
      </c>
      <c r="L165" s="2386">
        <f>'Výdaje kapitol celkem'!K28</f>
        <v>823000</v>
      </c>
      <c r="M165" s="2353">
        <f t="shared" si="3"/>
        <v>14455</v>
      </c>
    </row>
    <row r="166" spans="1:14" ht="18" customHeight="1" outlineLevel="1">
      <c r="A166" s="2357"/>
      <c r="B166" s="2383" t="s">
        <v>83</v>
      </c>
      <c r="C166" s="2384">
        <v>5163</v>
      </c>
      <c r="D166" s="2385">
        <v>920000</v>
      </c>
      <c r="E166" s="2385">
        <v>1220000</v>
      </c>
      <c r="F166" s="2385">
        <v>1220000</v>
      </c>
      <c r="G166" s="2385">
        <v>1307990</v>
      </c>
      <c r="H166" s="2385">
        <v>1307990</v>
      </c>
      <c r="I166" s="2385">
        <v>1307990</v>
      </c>
      <c r="J166" s="2385">
        <v>1307990</v>
      </c>
      <c r="K166" s="2385">
        <v>1307990</v>
      </c>
      <c r="L166" s="2386">
        <f>'Výdaje kapitol celkem'!K29</f>
        <v>1415000</v>
      </c>
      <c r="M166" s="2353">
        <f t="shared" si="3"/>
        <v>107010</v>
      </c>
    </row>
    <row r="167" spans="1:14" ht="18" customHeight="1" outlineLevel="1">
      <c r="A167" s="2357"/>
      <c r="B167" s="2383" t="s">
        <v>84</v>
      </c>
      <c r="C167" s="2384">
        <v>5164</v>
      </c>
      <c r="D167" s="2385">
        <v>1538137</v>
      </c>
      <c r="E167" s="2385">
        <v>1699563</v>
      </c>
      <c r="F167" s="2385">
        <v>1683355</v>
      </c>
      <c r="G167" s="2385">
        <v>1583355</v>
      </c>
      <c r="H167" s="2385">
        <v>1583355</v>
      </c>
      <c r="I167" s="2385">
        <v>1623355</v>
      </c>
      <c r="J167" s="2385">
        <v>1623355</v>
      </c>
      <c r="K167" s="2385">
        <v>1623355</v>
      </c>
      <c r="L167" s="2386">
        <f>'Výdaje kapitol celkem'!K30</f>
        <v>1622600</v>
      </c>
      <c r="M167" s="2353">
        <f t="shared" si="3"/>
        <v>-755</v>
      </c>
    </row>
    <row r="168" spans="1:14" ht="18" customHeight="1" outlineLevel="1">
      <c r="A168" s="2357"/>
      <c r="B168" s="2383" t="s">
        <v>85</v>
      </c>
      <c r="C168" s="2384">
        <v>5166</v>
      </c>
      <c r="D168" s="2385">
        <v>700000</v>
      </c>
      <c r="E168" s="2385">
        <v>800000</v>
      </c>
      <c r="F168" s="2385">
        <v>800000</v>
      </c>
      <c r="G168" s="2385">
        <v>800000</v>
      </c>
      <c r="H168" s="2385">
        <v>800000</v>
      </c>
      <c r="I168" s="2385">
        <v>800000</v>
      </c>
      <c r="J168" s="2385">
        <v>800000</v>
      </c>
      <c r="K168" s="2385">
        <v>800000</v>
      </c>
      <c r="L168" s="2386">
        <f>'Výdaje kapitol celkem'!K31</f>
        <v>640000</v>
      </c>
      <c r="M168" s="2353">
        <f t="shared" si="3"/>
        <v>-160000</v>
      </c>
      <c r="N168" s="2208"/>
    </row>
    <row r="169" spans="1:14" ht="18" customHeight="1" outlineLevel="1">
      <c r="A169" s="2357"/>
      <c r="B169" s="2383" t="s">
        <v>86</v>
      </c>
      <c r="C169" s="2384">
        <v>5167</v>
      </c>
      <c r="D169" s="2385">
        <v>375000</v>
      </c>
      <c r="E169" s="2385">
        <v>912900</v>
      </c>
      <c r="F169" s="2385">
        <v>912900</v>
      </c>
      <c r="G169" s="2385">
        <v>912900</v>
      </c>
      <c r="H169" s="2385">
        <v>912900</v>
      </c>
      <c r="I169" s="2385">
        <v>912900</v>
      </c>
      <c r="J169" s="2385">
        <v>912900</v>
      </c>
      <c r="K169" s="2385">
        <v>912900</v>
      </c>
      <c r="L169" s="2386">
        <f>'Výdaje kapitol celkem'!K32</f>
        <v>397000</v>
      </c>
      <c r="M169" s="2353">
        <f t="shared" si="3"/>
        <v>-515900</v>
      </c>
    </row>
    <row r="170" spans="1:14" ht="18" customHeight="1" outlineLevel="1">
      <c r="A170" s="2357"/>
      <c r="B170" s="2383" t="s">
        <v>87</v>
      </c>
      <c r="C170" s="2384">
        <v>5168</v>
      </c>
      <c r="D170" s="2385">
        <v>615000</v>
      </c>
      <c r="E170" s="2385">
        <v>915000</v>
      </c>
      <c r="F170" s="2385">
        <v>965000</v>
      </c>
      <c r="G170" s="2385">
        <v>967420</v>
      </c>
      <c r="H170" s="2385">
        <v>967420</v>
      </c>
      <c r="I170" s="2385">
        <v>967420</v>
      </c>
      <c r="J170" s="2385">
        <v>967420</v>
      </c>
      <c r="K170" s="2385">
        <v>967420</v>
      </c>
      <c r="L170" s="2386">
        <f>'Výdaje kapitol celkem'!K33</f>
        <v>188000</v>
      </c>
      <c r="M170" s="2353">
        <f t="shared" si="3"/>
        <v>-779420</v>
      </c>
    </row>
    <row r="171" spans="1:14" outlineLevel="1">
      <c r="A171" s="2415"/>
      <c r="B171" s="2421" t="s">
        <v>88</v>
      </c>
      <c r="C171" s="2422">
        <v>5169</v>
      </c>
      <c r="D171" s="2423">
        <v>18979100</v>
      </c>
      <c r="E171" s="2423">
        <v>22138600</v>
      </c>
      <c r="F171" s="2423">
        <v>22388600</v>
      </c>
      <c r="G171" s="2423">
        <v>23057600</v>
      </c>
      <c r="H171" s="2423">
        <v>23057600</v>
      </c>
      <c r="I171" s="2423">
        <v>26481700</v>
      </c>
      <c r="J171" s="2423">
        <v>26481700</v>
      </c>
      <c r="K171" s="2423">
        <v>26471700</v>
      </c>
      <c r="L171" s="2424">
        <f>'Výdaje kapitol celkem'!K34</f>
        <v>20798000</v>
      </c>
      <c r="M171" s="2353">
        <f t="shared" si="3"/>
        <v>-5673700</v>
      </c>
    </row>
    <row r="172" spans="1:14" s="2420" customFormat="1" outlineLevel="1">
      <c r="A172" s="2415"/>
      <c r="B172" s="2421" t="s">
        <v>89</v>
      </c>
      <c r="C172" s="2422">
        <v>5171</v>
      </c>
      <c r="D172" s="2423">
        <v>18476480</v>
      </c>
      <c r="E172" s="2423">
        <v>37319480</v>
      </c>
      <c r="F172" s="2423">
        <v>42048000</v>
      </c>
      <c r="G172" s="2423">
        <v>44558000</v>
      </c>
      <c r="H172" s="2423">
        <v>44558000</v>
      </c>
      <c r="I172" s="2423">
        <v>51344200</v>
      </c>
      <c r="J172" s="2423">
        <v>51344200</v>
      </c>
      <c r="K172" s="2423">
        <v>46309200</v>
      </c>
      <c r="L172" s="2424">
        <f>'Výdaje kapitol celkem'!K35</f>
        <v>26127000</v>
      </c>
      <c r="M172" s="2353">
        <f t="shared" si="3"/>
        <v>-20182200</v>
      </c>
      <c r="N172" s="2208"/>
    </row>
    <row r="173" spans="1:14" ht="18" customHeight="1" outlineLevel="1">
      <c r="A173" s="2357"/>
      <c r="B173" s="2383" t="s">
        <v>90</v>
      </c>
      <c r="C173" s="2384">
        <v>5172</v>
      </c>
      <c r="D173" s="2385">
        <v>3364300</v>
      </c>
      <c r="E173" s="2385">
        <v>3028000</v>
      </c>
      <c r="F173" s="2385">
        <v>3028000</v>
      </c>
      <c r="G173" s="2385">
        <v>3028000</v>
      </c>
      <c r="H173" s="2385">
        <v>3028000</v>
      </c>
      <c r="I173" s="2385">
        <v>3028000</v>
      </c>
      <c r="J173" s="2385">
        <v>3028000</v>
      </c>
      <c r="K173" s="2385">
        <v>3028000</v>
      </c>
      <c r="L173" s="2386">
        <f>'Výdaje kapitol celkem'!K36</f>
        <v>3162000</v>
      </c>
      <c r="M173" s="2353">
        <f t="shared" si="3"/>
        <v>134000</v>
      </c>
      <c r="N173" s="2420"/>
    </row>
    <row r="174" spans="1:14" ht="18" customHeight="1" outlineLevel="1">
      <c r="A174" s="2357"/>
      <c r="B174" s="2383" t="s">
        <v>91</v>
      </c>
      <c r="C174" s="2384">
        <v>5173</v>
      </c>
      <c r="D174" s="2385">
        <v>62000</v>
      </c>
      <c r="E174" s="2385">
        <v>62000</v>
      </c>
      <c r="F174" s="2385">
        <v>62000</v>
      </c>
      <c r="G174" s="2385">
        <v>62000</v>
      </c>
      <c r="H174" s="2385">
        <v>62000</v>
      </c>
      <c r="I174" s="2385">
        <v>62000</v>
      </c>
      <c r="J174" s="2385">
        <v>62000</v>
      </c>
      <c r="K174" s="2385">
        <v>62000</v>
      </c>
      <c r="L174" s="2386">
        <f>'Výdaje kapitol celkem'!K37</f>
        <v>20700</v>
      </c>
      <c r="M174" s="2353">
        <f t="shared" si="3"/>
        <v>-41300</v>
      </c>
    </row>
    <row r="175" spans="1:14" ht="18" customHeight="1" outlineLevel="1">
      <c r="A175" s="2357"/>
      <c r="B175" s="2383" t="s">
        <v>92</v>
      </c>
      <c r="C175" s="2384">
        <v>5175</v>
      </c>
      <c r="D175" s="2385">
        <v>431000</v>
      </c>
      <c r="E175" s="2385">
        <v>443000</v>
      </c>
      <c r="F175" s="2385">
        <v>443000</v>
      </c>
      <c r="G175" s="2385">
        <v>443000</v>
      </c>
      <c r="H175" s="2385">
        <v>443000</v>
      </c>
      <c r="I175" s="2385">
        <v>443000</v>
      </c>
      <c r="J175" s="2385">
        <v>443000</v>
      </c>
      <c r="K175" s="2385">
        <v>443000</v>
      </c>
      <c r="L175" s="2386">
        <f>'Výdaje kapitol celkem'!K38</f>
        <v>329434</v>
      </c>
      <c r="M175" s="2353">
        <f t="shared" si="3"/>
        <v>-113566</v>
      </c>
    </row>
    <row r="176" spans="1:14" ht="18" hidden="1" customHeight="1" outlineLevel="1">
      <c r="A176" s="2357"/>
      <c r="B176" s="2383" t="s">
        <v>93</v>
      </c>
      <c r="C176" s="2384">
        <v>5179</v>
      </c>
      <c r="D176" s="2385">
        <v>0</v>
      </c>
      <c r="E176" s="2385">
        <v>0</v>
      </c>
      <c r="F176" s="2385">
        <v>0</v>
      </c>
      <c r="G176" s="2385">
        <v>0</v>
      </c>
      <c r="H176" s="2385">
        <v>0</v>
      </c>
      <c r="I176" s="2385">
        <v>0</v>
      </c>
      <c r="J176" s="2385">
        <v>0</v>
      </c>
      <c r="K176" s="2385">
        <v>0</v>
      </c>
      <c r="L176" s="2386">
        <f>'Výdaje kapitol celkem'!K39</f>
        <v>0</v>
      </c>
      <c r="M176" s="2353">
        <f t="shared" si="3"/>
        <v>0</v>
      </c>
    </row>
    <row r="177" spans="1:14" ht="18" hidden="1" customHeight="1" outlineLevel="1">
      <c r="A177" s="2357"/>
      <c r="B177" s="2383" t="s">
        <v>358</v>
      </c>
      <c r="C177" s="2384">
        <v>5192</v>
      </c>
      <c r="D177" s="2385">
        <v>0</v>
      </c>
      <c r="E177" s="2385">
        <v>0</v>
      </c>
      <c r="F177" s="2385">
        <v>0</v>
      </c>
      <c r="G177" s="2385">
        <v>0</v>
      </c>
      <c r="H177" s="2385">
        <v>0</v>
      </c>
      <c r="I177" s="2385">
        <v>0</v>
      </c>
      <c r="J177" s="2385">
        <v>0</v>
      </c>
      <c r="K177" s="2385">
        <v>0</v>
      </c>
      <c r="L177" s="2386">
        <f>'Výdaje kapitol celkem'!K40</f>
        <v>0</v>
      </c>
      <c r="M177" s="2353">
        <f t="shared" si="3"/>
        <v>0</v>
      </c>
    </row>
    <row r="178" spans="1:14" ht="18" customHeight="1" outlineLevel="1">
      <c r="A178" s="2357"/>
      <c r="B178" s="2383" t="s">
        <v>94</v>
      </c>
      <c r="C178" s="2384">
        <v>5193</v>
      </c>
      <c r="D178" s="2385">
        <v>2978575</v>
      </c>
      <c r="E178" s="2385">
        <v>4000000</v>
      </c>
      <c r="F178" s="2385">
        <v>4000000</v>
      </c>
      <c r="G178" s="2385">
        <v>4000000</v>
      </c>
      <c r="H178" s="2385">
        <v>4000000</v>
      </c>
      <c r="I178" s="2385">
        <v>4000000</v>
      </c>
      <c r="J178" s="2385">
        <v>4000000</v>
      </c>
      <c r="K178" s="2385">
        <v>4000000</v>
      </c>
      <c r="L178" s="2386">
        <f>'Výdaje kapitol celkem'!K41</f>
        <v>3800000</v>
      </c>
      <c r="M178" s="2353">
        <f t="shared" si="3"/>
        <v>-200000</v>
      </c>
    </row>
    <row r="179" spans="1:14" ht="18" customHeight="1" outlineLevel="1">
      <c r="A179" s="2357"/>
      <c r="B179" s="2383" t="s">
        <v>95</v>
      </c>
      <c r="C179" s="2384">
        <v>5194</v>
      </c>
      <c r="D179" s="2385">
        <v>310000</v>
      </c>
      <c r="E179" s="2385">
        <v>345000</v>
      </c>
      <c r="F179" s="2385">
        <v>345000</v>
      </c>
      <c r="G179" s="2385">
        <v>345000</v>
      </c>
      <c r="H179" s="2385">
        <v>345000</v>
      </c>
      <c r="I179" s="2385">
        <v>345000</v>
      </c>
      <c r="J179" s="2385">
        <v>345000</v>
      </c>
      <c r="K179" s="2385">
        <v>395000</v>
      </c>
      <c r="L179" s="2386">
        <f>'Výdaje kapitol celkem'!K42</f>
        <v>408000</v>
      </c>
      <c r="M179" s="2353">
        <f t="shared" si="3"/>
        <v>13000</v>
      </c>
    </row>
    <row r="180" spans="1:14" ht="18" customHeight="1" outlineLevel="1">
      <c r="A180" s="2357"/>
      <c r="B180" s="2383" t="s">
        <v>2954</v>
      </c>
      <c r="C180" s="2384">
        <v>5221</v>
      </c>
      <c r="D180" s="2385"/>
      <c r="E180" s="2385"/>
      <c r="F180" s="2385"/>
      <c r="G180" s="2385"/>
      <c r="H180" s="2385"/>
      <c r="I180" s="2385"/>
      <c r="J180" s="2385"/>
      <c r="K180" s="2385"/>
      <c r="L180" s="2386">
        <f>+'Výdaje kapitol celkem'!K43</f>
        <v>150300</v>
      </c>
      <c r="M180" s="2353"/>
    </row>
    <row r="181" spans="1:14" ht="18" customHeight="1" outlineLevel="1">
      <c r="A181" s="2357"/>
      <c r="B181" s="2383" t="s">
        <v>96</v>
      </c>
      <c r="C181" s="2384">
        <v>5329</v>
      </c>
      <c r="D181" s="2385">
        <v>2514380</v>
      </c>
      <c r="E181" s="2385">
        <v>4274360</v>
      </c>
      <c r="F181" s="2385">
        <v>4274360</v>
      </c>
      <c r="G181" s="2385">
        <v>4274360</v>
      </c>
      <c r="H181" s="2385">
        <v>4274360</v>
      </c>
      <c r="I181" s="2385">
        <v>4274360</v>
      </c>
      <c r="J181" s="2385">
        <v>4274360</v>
      </c>
      <c r="K181" s="2385">
        <v>2674360</v>
      </c>
      <c r="L181" s="2386">
        <f>'Výdaje kapitol celkem'!K44</f>
        <v>4442000</v>
      </c>
      <c r="M181" s="2353">
        <f t="shared" si="3"/>
        <v>1767640</v>
      </c>
    </row>
    <row r="182" spans="1:14" s="2420" customFormat="1" outlineLevel="1">
      <c r="A182" s="2415"/>
      <c r="B182" s="2421" t="s">
        <v>97</v>
      </c>
      <c r="C182" s="2422">
        <v>5331</v>
      </c>
      <c r="D182" s="2423">
        <v>33799900</v>
      </c>
      <c r="E182" s="2423">
        <v>53986224</v>
      </c>
      <c r="F182" s="2423">
        <v>54036224</v>
      </c>
      <c r="G182" s="2423">
        <v>54036224</v>
      </c>
      <c r="H182" s="2423">
        <v>54036224</v>
      </c>
      <c r="I182" s="2423">
        <v>54036224</v>
      </c>
      <c r="J182" s="2423">
        <v>54036224</v>
      </c>
      <c r="K182" s="2423">
        <v>55684755</v>
      </c>
      <c r="L182" s="2424">
        <f>'Výdaje kapitol celkem'!K45</f>
        <v>58209131</v>
      </c>
      <c r="M182" s="2353">
        <f t="shared" si="3"/>
        <v>2524376</v>
      </c>
      <c r="N182" s="2167"/>
    </row>
    <row r="183" spans="1:14" ht="18" customHeight="1" outlineLevel="1">
      <c r="A183" s="2357"/>
      <c r="B183" s="2383" t="s">
        <v>98</v>
      </c>
      <c r="C183" s="2384">
        <v>5361</v>
      </c>
      <c r="D183" s="2385">
        <v>40000</v>
      </c>
      <c r="E183" s="2385">
        <v>40000</v>
      </c>
      <c r="F183" s="2385">
        <v>40000</v>
      </c>
      <c r="G183" s="2385">
        <v>40000</v>
      </c>
      <c r="H183" s="2385">
        <v>40000</v>
      </c>
      <c r="I183" s="2385">
        <v>40000</v>
      </c>
      <c r="J183" s="2385">
        <v>40000</v>
      </c>
      <c r="K183" s="2385">
        <v>40000</v>
      </c>
      <c r="L183" s="2386">
        <f>'Výdaje kapitol celkem'!K46</f>
        <v>0</v>
      </c>
      <c r="M183" s="2353">
        <f t="shared" si="3"/>
        <v>-40000</v>
      </c>
      <c r="N183" s="2420"/>
    </row>
    <row r="184" spans="1:14" ht="18" customHeight="1" outlineLevel="1">
      <c r="A184" s="2357"/>
      <c r="B184" s="2383" t="s">
        <v>99</v>
      </c>
      <c r="C184" s="2384">
        <v>5362</v>
      </c>
      <c r="D184" s="2385">
        <v>1130000</v>
      </c>
      <c r="E184" s="2385">
        <v>3690000</v>
      </c>
      <c r="F184" s="2385">
        <v>3690000</v>
      </c>
      <c r="G184" s="2385">
        <v>3690000</v>
      </c>
      <c r="H184" s="2385">
        <v>3690000</v>
      </c>
      <c r="I184" s="2385">
        <v>3690000</v>
      </c>
      <c r="J184" s="2385">
        <v>3690000</v>
      </c>
      <c r="K184" s="2385">
        <v>3690000</v>
      </c>
      <c r="L184" s="2386">
        <f>'Výdaje kapitol celkem'!K47</f>
        <v>2984000</v>
      </c>
      <c r="M184" s="2353">
        <f t="shared" si="3"/>
        <v>-706000</v>
      </c>
    </row>
    <row r="185" spans="1:14" ht="18" hidden="1" customHeight="1" outlineLevel="1">
      <c r="A185" s="2357"/>
      <c r="B185" s="2383" t="s">
        <v>775</v>
      </c>
      <c r="C185" s="2384">
        <v>5363</v>
      </c>
      <c r="D185" s="2385">
        <v>0</v>
      </c>
      <c r="E185" s="2385">
        <v>0</v>
      </c>
      <c r="F185" s="2385">
        <v>0</v>
      </c>
      <c r="G185" s="2385">
        <v>0</v>
      </c>
      <c r="H185" s="2385">
        <v>0</v>
      </c>
      <c r="I185" s="2385">
        <v>0</v>
      </c>
      <c r="J185" s="2385">
        <v>10829500</v>
      </c>
      <c r="K185" s="2385">
        <v>0</v>
      </c>
      <c r="L185" s="2386">
        <f>'Výdaje kapitol celkem'!K48</f>
        <v>0</v>
      </c>
      <c r="M185" s="2353">
        <f t="shared" si="3"/>
        <v>0</v>
      </c>
    </row>
    <row r="186" spans="1:14" outlineLevel="1">
      <c r="A186" s="2357"/>
      <c r="B186" s="2383" t="s">
        <v>100</v>
      </c>
      <c r="C186" s="2384">
        <v>5492</v>
      </c>
      <c r="D186" s="2385">
        <v>925000</v>
      </c>
      <c r="E186" s="2385">
        <v>470000</v>
      </c>
      <c r="F186" s="2385">
        <v>470000</v>
      </c>
      <c r="G186" s="2385">
        <v>470000</v>
      </c>
      <c r="H186" s="2385">
        <v>470000</v>
      </c>
      <c r="I186" s="2385">
        <v>470000</v>
      </c>
      <c r="J186" s="2385">
        <v>470000</v>
      </c>
      <c r="K186" s="2385">
        <v>470000</v>
      </c>
      <c r="L186" s="2386">
        <f>'Výdaje kapitol celkem'!K49</f>
        <v>475000</v>
      </c>
      <c r="M186" s="2353">
        <f t="shared" si="3"/>
        <v>5000</v>
      </c>
    </row>
    <row r="187" spans="1:14" ht="18" customHeight="1" outlineLevel="1">
      <c r="A187" s="2357"/>
      <c r="B187" s="2383" t="s">
        <v>735</v>
      </c>
      <c r="C187" s="2384">
        <v>5499</v>
      </c>
      <c r="D187" s="2385">
        <v>1620000</v>
      </c>
      <c r="E187" s="2385">
        <v>1980000</v>
      </c>
      <c r="F187" s="2385">
        <v>1980000</v>
      </c>
      <c r="G187" s="2385">
        <v>1980000</v>
      </c>
      <c r="H187" s="2385">
        <v>1980000</v>
      </c>
      <c r="I187" s="2385">
        <v>1980000</v>
      </c>
      <c r="J187" s="2385">
        <v>1980000</v>
      </c>
      <c r="K187" s="2385">
        <v>1980000</v>
      </c>
      <c r="L187" s="2386">
        <f>'Výdaje kapitol celkem'!K50</f>
        <v>1980000</v>
      </c>
      <c r="M187" s="2353">
        <f t="shared" si="3"/>
        <v>0</v>
      </c>
    </row>
    <row r="188" spans="1:14" ht="18" customHeight="1" outlineLevel="1">
      <c r="A188" s="2357"/>
      <c r="B188" s="2383" t="s">
        <v>101</v>
      </c>
      <c r="C188" s="2384">
        <v>5222</v>
      </c>
      <c r="D188" s="2385">
        <v>1200000</v>
      </c>
      <c r="E188" s="2385">
        <v>1200000</v>
      </c>
      <c r="F188" s="2385">
        <v>1200000</v>
      </c>
      <c r="G188" s="2385">
        <v>1200000</v>
      </c>
      <c r="H188" s="2385">
        <v>1200000</v>
      </c>
      <c r="I188" s="2385">
        <v>1200000</v>
      </c>
      <c r="J188" s="2385">
        <v>1200000</v>
      </c>
      <c r="K188" s="2385">
        <v>1200000</v>
      </c>
      <c r="L188" s="2386">
        <f>'Výdaje kapitol celkem'!K51</f>
        <v>1200000</v>
      </c>
      <c r="M188" s="2353">
        <f t="shared" si="3"/>
        <v>0</v>
      </c>
    </row>
    <row r="189" spans="1:14" ht="18" customHeight="1" outlineLevel="1">
      <c r="A189" s="2357"/>
      <c r="B189" s="2383" t="s">
        <v>761</v>
      </c>
      <c r="C189" s="2384">
        <v>5903</v>
      </c>
      <c r="D189" s="2385">
        <v>69012.591499999995</v>
      </c>
      <c r="E189" s="2385">
        <v>74053.766499999998</v>
      </c>
      <c r="F189" s="2385">
        <v>74053.766499999998</v>
      </c>
      <c r="G189" s="2385">
        <v>74053.766499999998</v>
      </c>
      <c r="H189" s="2385">
        <v>74053.766499999998</v>
      </c>
      <c r="I189" s="2385">
        <v>74053.766499999998</v>
      </c>
      <c r="J189" s="2385">
        <v>74053.766499999998</v>
      </c>
      <c r="K189" s="2385">
        <v>74053.766499999998</v>
      </c>
      <c r="L189" s="2386">
        <f>'Výdaje kapitol celkem'!K52</f>
        <v>74054</v>
      </c>
      <c r="M189" s="2353">
        <f t="shared" si="3"/>
        <v>0.23350000000209548</v>
      </c>
    </row>
    <row r="190" spans="1:14" ht="18" customHeight="1" outlineLevel="1">
      <c r="A190" s="2357"/>
      <c r="B190" s="2383" t="s">
        <v>2970</v>
      </c>
      <c r="C190" s="2384">
        <v>5909</v>
      </c>
      <c r="D190" s="2385"/>
      <c r="E190" s="2385"/>
      <c r="F190" s="2385"/>
      <c r="G190" s="2385"/>
      <c r="H190" s="2385"/>
      <c r="I190" s="2385"/>
      <c r="J190" s="2385"/>
      <c r="K190" s="2385"/>
      <c r="L190" s="2386">
        <f>+'Výdaje kapitol celkem'!K53</f>
        <v>1011000</v>
      </c>
      <c r="M190" s="2353">
        <f t="shared" si="3"/>
        <v>1011000</v>
      </c>
    </row>
    <row r="191" spans="1:14" s="2291" customFormat="1" ht="18" customHeight="1" outlineLevel="1">
      <c r="A191" s="2349"/>
      <c r="B191" s="2354" t="s">
        <v>129</v>
      </c>
      <c r="C191" s="2355">
        <v>5141</v>
      </c>
      <c r="D191" s="2213">
        <v>2952545.0202600001</v>
      </c>
      <c r="E191" s="2213">
        <v>2327757.9317000001</v>
      </c>
      <c r="F191" s="2213">
        <v>2327757.9317000001</v>
      </c>
      <c r="G191" s="2213">
        <v>2327757.9317000001</v>
      </c>
      <c r="H191" s="2213">
        <v>2327757.9317000001</v>
      </c>
      <c r="I191" s="2213">
        <v>2327757.9317000001</v>
      </c>
      <c r="J191" s="2213">
        <v>2327757.9317000001</v>
      </c>
      <c r="K191" s="2213">
        <v>2465758.016443999</v>
      </c>
      <c r="L191" s="2356">
        <f>'Výdaje kapitol celkem'!K55</f>
        <v>2586000.016443999</v>
      </c>
      <c r="M191" s="2353">
        <f t="shared" si="3"/>
        <v>120242</v>
      </c>
      <c r="N191" s="2167"/>
    </row>
    <row r="192" spans="1:14" s="2291" customFormat="1" ht="18" customHeight="1" outlineLevel="1">
      <c r="A192" s="2349"/>
      <c r="B192" s="2354" t="s">
        <v>2951</v>
      </c>
      <c r="C192" s="2368">
        <v>5142</v>
      </c>
      <c r="D192" s="2244"/>
      <c r="E192" s="2244"/>
      <c r="F192" s="2244"/>
      <c r="G192" s="2244"/>
      <c r="H192" s="2244"/>
      <c r="I192" s="2244"/>
      <c r="J192" s="2244"/>
      <c r="K192" s="2244"/>
      <c r="L192" s="2369">
        <f>+'Výdaje kapitol celkem'!K56</f>
        <v>100</v>
      </c>
      <c r="M192" s="2353">
        <f t="shared" si="3"/>
        <v>100</v>
      </c>
      <c r="N192" s="2167"/>
    </row>
    <row r="193" spans="1:14" outlineLevel="1">
      <c r="A193" s="2357"/>
      <c r="B193" s="2383" t="s">
        <v>736</v>
      </c>
      <c r="C193" s="2371">
        <v>5144</v>
      </c>
      <c r="D193" s="2372">
        <v>0</v>
      </c>
      <c r="E193" s="2372">
        <v>0</v>
      </c>
      <c r="F193" s="2372">
        <v>0</v>
      </c>
      <c r="G193" s="2372">
        <v>0</v>
      </c>
      <c r="H193" s="2372">
        <v>0</v>
      </c>
      <c r="I193" s="2372">
        <v>0</v>
      </c>
      <c r="J193" s="2372">
        <v>0</v>
      </c>
      <c r="K193" s="2372">
        <v>0</v>
      </c>
      <c r="L193" s="2373">
        <f>'Výdaje kapitol celkem'!K57</f>
        <v>0</v>
      </c>
      <c r="M193" s="2353">
        <f t="shared" si="3"/>
        <v>0</v>
      </c>
      <c r="N193" s="2291"/>
    </row>
    <row r="194" spans="1:14" s="2234" customFormat="1" ht="15" thickBot="1">
      <c r="A194" s="2374" t="s">
        <v>241</v>
      </c>
      <c r="B194" s="2428" t="s">
        <v>242</v>
      </c>
      <c r="C194" s="2376"/>
      <c r="D194" s="2377">
        <v>67523654.480000004</v>
      </c>
      <c r="E194" s="2377">
        <v>177715916</v>
      </c>
      <c r="F194" s="2377">
        <v>196415916</v>
      </c>
      <c r="G194" s="2377">
        <v>196580871</v>
      </c>
      <c r="H194" s="2377">
        <v>196580871</v>
      </c>
      <c r="I194" s="2377">
        <v>169262974</v>
      </c>
      <c r="J194" s="2377">
        <v>169262974</v>
      </c>
      <c r="K194" s="2377">
        <v>117241969</v>
      </c>
      <c r="L194" s="2378">
        <f>SUM(L195:L205)</f>
        <v>105644080</v>
      </c>
      <c r="M194" s="2353">
        <f t="shared" si="3"/>
        <v>-11597889</v>
      </c>
      <c r="N194" s="2167"/>
    </row>
    <row r="195" spans="1:14" ht="21" customHeight="1" outlineLevel="1" thickTop="1">
      <c r="A195" s="2357"/>
      <c r="B195" s="2379" t="s">
        <v>90</v>
      </c>
      <c r="C195" s="2380">
        <v>6111</v>
      </c>
      <c r="D195" s="2381">
        <v>0</v>
      </c>
      <c r="E195" s="2381">
        <v>3269880</v>
      </c>
      <c r="F195" s="2381">
        <v>3269880</v>
      </c>
      <c r="G195" s="2381">
        <v>3269880</v>
      </c>
      <c r="H195" s="2381">
        <v>3269880</v>
      </c>
      <c r="I195" s="2381">
        <v>3269880</v>
      </c>
      <c r="J195" s="2381">
        <v>3269880</v>
      </c>
      <c r="K195" s="2381">
        <v>3269880</v>
      </c>
      <c r="L195" s="2382">
        <f>'Výdaje kapitol celkem'!K60</f>
        <v>30000</v>
      </c>
      <c r="M195" s="2353">
        <f t="shared" si="3"/>
        <v>-3239880</v>
      </c>
      <c r="N195" s="2234"/>
    </row>
    <row r="196" spans="1:14" s="2420" customFormat="1" outlineLevel="1">
      <c r="A196" s="2415"/>
      <c r="B196" s="2421" t="s">
        <v>105</v>
      </c>
      <c r="C196" s="2422">
        <v>6121</v>
      </c>
      <c r="D196" s="2423">
        <v>51938654.480000004</v>
      </c>
      <c r="E196" s="2423">
        <v>120189200</v>
      </c>
      <c r="F196" s="2423">
        <v>138389200</v>
      </c>
      <c r="G196" s="2423">
        <v>135465099</v>
      </c>
      <c r="H196" s="2423">
        <f>141315099-50000</f>
        <v>141265099</v>
      </c>
      <c r="I196" s="2423">
        <v>111587202</v>
      </c>
      <c r="J196" s="2423">
        <v>111587202</v>
      </c>
      <c r="K196" s="2423">
        <v>83500240</v>
      </c>
      <c r="L196" s="2424">
        <f>'Výdaje kapitol celkem'!K61</f>
        <v>77187000</v>
      </c>
      <c r="M196" s="2353">
        <f t="shared" si="3"/>
        <v>-6313240</v>
      </c>
      <c r="N196" s="2167"/>
    </row>
    <row r="197" spans="1:14" s="2420" customFormat="1" outlineLevel="1">
      <c r="A197" s="2415"/>
      <c r="B197" s="2421" t="s">
        <v>106</v>
      </c>
      <c r="C197" s="2422">
        <v>6121</v>
      </c>
      <c r="D197" s="2385">
        <v>9560000</v>
      </c>
      <c r="E197" s="2385">
        <v>8492604</v>
      </c>
      <c r="F197" s="2385">
        <v>8992604</v>
      </c>
      <c r="G197" s="2385">
        <v>9081660</v>
      </c>
      <c r="H197" s="2385">
        <v>9081660</v>
      </c>
      <c r="I197" s="2385">
        <v>9291660</v>
      </c>
      <c r="J197" s="2385">
        <v>9291660</v>
      </c>
      <c r="K197" s="2385">
        <v>5291660</v>
      </c>
      <c r="L197" s="2386">
        <f>'Výdaje kapitol celkem'!K62</f>
        <v>2180000</v>
      </c>
      <c r="M197" s="2353">
        <f t="shared" si="3"/>
        <v>-3111660</v>
      </c>
    </row>
    <row r="198" spans="1:14" outlineLevel="1">
      <c r="A198" s="2415"/>
      <c r="B198" s="2421" t="s">
        <v>107</v>
      </c>
      <c r="C198" s="2422">
        <v>6122</v>
      </c>
      <c r="D198" s="2423">
        <v>200000</v>
      </c>
      <c r="E198" s="2423">
        <v>570000</v>
      </c>
      <c r="F198" s="2423">
        <v>570000</v>
      </c>
      <c r="G198" s="2423">
        <v>570000</v>
      </c>
      <c r="H198" s="2423">
        <v>570000</v>
      </c>
      <c r="I198" s="2423">
        <v>720000</v>
      </c>
      <c r="J198" s="2423">
        <v>720000</v>
      </c>
      <c r="K198" s="2423">
        <v>950000</v>
      </c>
      <c r="L198" s="2424">
        <f>'Výdaje kapitol celkem'!K63</f>
        <v>662000</v>
      </c>
      <c r="M198" s="2353">
        <f t="shared" si="3"/>
        <v>-288000</v>
      </c>
      <c r="N198" s="2420"/>
    </row>
    <row r="199" spans="1:14" ht="18.75" customHeight="1" outlineLevel="1">
      <c r="A199" s="2357"/>
      <c r="B199" s="2383" t="s">
        <v>108</v>
      </c>
      <c r="C199" s="2384">
        <v>6123</v>
      </c>
      <c r="D199" s="2385">
        <v>0</v>
      </c>
      <c r="E199" s="2385">
        <v>1200000</v>
      </c>
      <c r="F199" s="2385">
        <v>1200000</v>
      </c>
      <c r="G199" s="2385">
        <v>1200000</v>
      </c>
      <c r="H199" s="2385">
        <v>1200000</v>
      </c>
      <c r="I199" s="2385">
        <v>1200000</v>
      </c>
      <c r="J199" s="2385">
        <v>1200000</v>
      </c>
      <c r="K199" s="2385">
        <v>1200000</v>
      </c>
      <c r="L199" s="2386">
        <f>'Výdaje kapitol celkem'!K64</f>
        <v>600000</v>
      </c>
      <c r="M199" s="2353">
        <f t="shared" si="3"/>
        <v>-600000</v>
      </c>
    </row>
    <row r="200" spans="1:14" ht="18.75" customHeight="1" outlineLevel="1">
      <c r="A200" s="2357"/>
      <c r="B200" s="2383" t="s">
        <v>109</v>
      </c>
      <c r="C200" s="2384">
        <v>6125</v>
      </c>
      <c r="D200" s="2385">
        <v>240000</v>
      </c>
      <c r="E200" s="2385">
        <v>4736152</v>
      </c>
      <c r="F200" s="2385">
        <v>4736152</v>
      </c>
      <c r="G200" s="2385">
        <v>4736152</v>
      </c>
      <c r="H200" s="2385">
        <v>4736152</v>
      </c>
      <c r="I200" s="2385">
        <v>4736152</v>
      </c>
      <c r="J200" s="2385">
        <v>4736152</v>
      </c>
      <c r="K200" s="2385">
        <v>4736152</v>
      </c>
      <c r="L200" s="2386">
        <f>'Výdaje kapitol celkem'!K65</f>
        <v>4300000</v>
      </c>
      <c r="M200" s="2353">
        <f t="shared" si="3"/>
        <v>-436152</v>
      </c>
    </row>
    <row r="201" spans="1:14" ht="18.75" customHeight="1" outlineLevel="1">
      <c r="A201" s="2357"/>
      <c r="B201" s="2383" t="s">
        <v>110</v>
      </c>
      <c r="C201" s="2384">
        <v>6129</v>
      </c>
      <c r="D201" s="2385">
        <v>0</v>
      </c>
      <c r="E201" s="2385">
        <v>0</v>
      </c>
      <c r="F201" s="2385">
        <v>0</v>
      </c>
      <c r="G201" s="2385">
        <v>0</v>
      </c>
      <c r="H201" s="2385">
        <v>0</v>
      </c>
      <c r="I201" s="2385">
        <v>0</v>
      </c>
      <c r="J201" s="2385">
        <v>0</v>
      </c>
      <c r="K201" s="2385">
        <v>0</v>
      </c>
      <c r="L201" s="2386">
        <f>'Výdaje kapitol celkem'!K66</f>
        <v>0</v>
      </c>
      <c r="M201" s="2353">
        <f t="shared" si="3"/>
        <v>0</v>
      </c>
    </row>
    <row r="202" spans="1:14" outlineLevel="1">
      <c r="A202" s="2357"/>
      <c r="B202" s="2383" t="s">
        <v>111</v>
      </c>
      <c r="C202" s="2384">
        <v>6130</v>
      </c>
      <c r="D202" s="2385">
        <v>2215000</v>
      </c>
      <c r="E202" s="2385">
        <v>5000000</v>
      </c>
      <c r="F202" s="2385">
        <v>5000000</v>
      </c>
      <c r="G202" s="2385">
        <v>6300000</v>
      </c>
      <c r="H202" s="2385">
        <v>6300000</v>
      </c>
      <c r="I202" s="2385">
        <v>6300000</v>
      </c>
      <c r="J202" s="2385">
        <v>6300000</v>
      </c>
      <c r="K202" s="2385">
        <v>6300000</v>
      </c>
      <c r="L202" s="2386">
        <f>'Výdaje kapitol celkem'!K67</f>
        <v>6366000</v>
      </c>
      <c r="M202" s="2353">
        <f t="shared" si="3"/>
        <v>66000</v>
      </c>
    </row>
    <row r="203" spans="1:14" ht="18.75" customHeight="1" outlineLevel="1">
      <c r="A203" s="2357"/>
      <c r="B203" s="2383" t="s">
        <v>1141</v>
      </c>
      <c r="C203" s="2384">
        <v>6349</v>
      </c>
      <c r="D203" s="2385">
        <v>0</v>
      </c>
      <c r="E203" s="2385">
        <v>29400000</v>
      </c>
      <c r="F203" s="2385">
        <v>29400000</v>
      </c>
      <c r="G203" s="2385">
        <v>29400000</v>
      </c>
      <c r="H203" s="2385">
        <f>23550000+50000</f>
        <v>23600000</v>
      </c>
      <c r="I203" s="2385">
        <v>23600000</v>
      </c>
      <c r="J203" s="2385">
        <v>23600000</v>
      </c>
      <c r="K203" s="2385">
        <v>3435957</v>
      </c>
      <c r="L203" s="2386">
        <f>'Výdaje kapitol celkem'!K68</f>
        <v>5761000</v>
      </c>
      <c r="M203" s="2353">
        <f t="shared" si="3"/>
        <v>2325043</v>
      </c>
    </row>
    <row r="204" spans="1:14" ht="18.75" customHeight="1" outlineLevel="1">
      <c r="A204" s="2357"/>
      <c r="B204" s="2383" t="s">
        <v>295</v>
      </c>
      <c r="C204" s="2384">
        <v>6351</v>
      </c>
      <c r="D204" s="2385">
        <v>3370000</v>
      </c>
      <c r="E204" s="2385">
        <v>4858080</v>
      </c>
      <c r="F204" s="2385">
        <v>4858080</v>
      </c>
      <c r="G204" s="2385">
        <v>6558080</v>
      </c>
      <c r="H204" s="2385">
        <v>6558080</v>
      </c>
      <c r="I204" s="2385">
        <v>8558080</v>
      </c>
      <c r="J204" s="2385">
        <v>8558080</v>
      </c>
      <c r="K204" s="2385">
        <v>8558080</v>
      </c>
      <c r="L204" s="2386">
        <f>'Výdaje kapitol celkem'!K69</f>
        <v>8558080</v>
      </c>
      <c r="M204" s="2353">
        <f t="shared" si="3"/>
        <v>0</v>
      </c>
    </row>
    <row r="205" spans="1:14" ht="18.75" customHeight="1" outlineLevel="1">
      <c r="A205" s="2357" t="s">
        <v>582</v>
      </c>
      <c r="B205" s="2383" t="s">
        <v>295</v>
      </c>
      <c r="C205" s="2384">
        <v>6349</v>
      </c>
      <c r="D205" s="2385">
        <v>0</v>
      </c>
      <c r="E205" s="2385">
        <v>0</v>
      </c>
      <c r="F205" s="2385">
        <v>0</v>
      </c>
      <c r="G205" s="2385">
        <v>0</v>
      </c>
      <c r="H205" s="2385">
        <v>0</v>
      </c>
      <c r="I205" s="2385">
        <v>0</v>
      </c>
      <c r="J205" s="2385">
        <v>0</v>
      </c>
      <c r="K205" s="2385">
        <v>0</v>
      </c>
      <c r="L205" s="2386">
        <f>'Výdaje kapitol celkem'!K71</f>
        <v>0</v>
      </c>
      <c r="M205" s="2353">
        <f t="shared" si="3"/>
        <v>0</v>
      </c>
    </row>
    <row r="206" spans="1:14" hidden="1" outlineLevel="1">
      <c r="A206" s="2357"/>
      <c r="B206" s="2370"/>
      <c r="C206" s="2371"/>
      <c r="D206" s="2372"/>
      <c r="E206" s="2372"/>
      <c r="F206" s="2372"/>
      <c r="G206" s="2372"/>
      <c r="H206" s="2372"/>
      <c r="I206" s="2372"/>
      <c r="J206" s="2372"/>
      <c r="K206" s="2372"/>
      <c r="L206" s="2373"/>
      <c r="M206" s="2353">
        <f t="shared" si="3"/>
        <v>0</v>
      </c>
    </row>
    <row r="207" spans="1:14" s="2234" customFormat="1" ht="15" thickBot="1">
      <c r="A207" s="2374" t="s">
        <v>232</v>
      </c>
      <c r="B207" s="2428" t="s">
        <v>233</v>
      </c>
      <c r="C207" s="2376"/>
      <c r="D207" s="2377">
        <v>19167929.908239976</v>
      </c>
      <c r="E207" s="2377">
        <v>26992263.001800001</v>
      </c>
      <c r="F207" s="2377">
        <v>27248234.001800001</v>
      </c>
      <c r="G207" s="2377">
        <v>16689560.001800001</v>
      </c>
      <c r="H207" s="2377">
        <v>16689560.001800001</v>
      </c>
      <c r="I207" s="2377">
        <v>36935817.001800001</v>
      </c>
      <c r="J207" s="2377">
        <v>26106317.001800001</v>
      </c>
      <c r="K207" s="2377">
        <v>9708398.9170560241</v>
      </c>
      <c r="L207" s="2378">
        <f>SUM(L208:L210)</f>
        <v>18341693.983556002</v>
      </c>
      <c r="M207" s="2353">
        <f t="shared" si="3"/>
        <v>8633295.0664999783</v>
      </c>
      <c r="N207" s="2167"/>
    </row>
    <row r="208" spans="1:14" ht="20.25" customHeight="1" outlineLevel="1" thickTop="1">
      <c r="A208" s="2357"/>
      <c r="B208" s="2379" t="s">
        <v>1522</v>
      </c>
      <c r="C208" s="2380">
        <v>8115</v>
      </c>
      <c r="D208" s="2381">
        <v>53665.908239975572</v>
      </c>
      <c r="E208" s="2381">
        <v>18511296.001800001</v>
      </c>
      <c r="F208" s="2381">
        <v>18767267.001800001</v>
      </c>
      <c r="G208" s="2381">
        <v>8208593.0018000007</v>
      </c>
      <c r="H208" s="2381">
        <v>8208593.0018000007</v>
      </c>
      <c r="I208" s="2381">
        <v>28454850.001800001</v>
      </c>
      <c r="J208" s="2381">
        <v>17625350.001800001</v>
      </c>
      <c r="K208" s="2381">
        <v>174401.91705602407</v>
      </c>
      <c r="L208" s="2382">
        <f>'Výdaje kapitol celkem'!K70</f>
        <v>8391019.9835560024</v>
      </c>
      <c r="M208" s="2353">
        <f t="shared" si="3"/>
        <v>8216618.0664999783</v>
      </c>
      <c r="N208" s="2234"/>
    </row>
    <row r="209" spans="1:14" ht="20.25" hidden="1" customHeight="1" outlineLevel="1">
      <c r="A209" s="2357"/>
      <c r="B209" s="2383" t="s">
        <v>118</v>
      </c>
      <c r="C209" s="2384">
        <v>8115</v>
      </c>
      <c r="D209" s="2385"/>
      <c r="E209" s="2385"/>
      <c r="F209" s="2385"/>
      <c r="G209" s="2385"/>
      <c r="H209" s="2385"/>
      <c r="I209" s="2385"/>
      <c r="J209" s="2385"/>
      <c r="K209" s="2385"/>
      <c r="L209" s="2386"/>
      <c r="M209" s="2353">
        <f t="shared" ref="M209:M214" si="4">+L209-K209</f>
        <v>0</v>
      </c>
    </row>
    <row r="210" spans="1:14" s="2366" customFormat="1" ht="20.25" customHeight="1" outlineLevel="1" thickBot="1">
      <c r="A210" s="2361"/>
      <c r="B210" s="2354" t="s">
        <v>738</v>
      </c>
      <c r="C210" s="2355" t="s">
        <v>115</v>
      </c>
      <c r="D210" s="2213">
        <v>19114264</v>
      </c>
      <c r="E210" s="2213">
        <v>8480967</v>
      </c>
      <c r="F210" s="2213">
        <v>8480967</v>
      </c>
      <c r="G210" s="2213">
        <v>8480967</v>
      </c>
      <c r="H210" s="2213">
        <v>8480967</v>
      </c>
      <c r="I210" s="2213">
        <v>8480967</v>
      </c>
      <c r="J210" s="2213">
        <v>8480967</v>
      </c>
      <c r="K210" s="2213">
        <v>9533997</v>
      </c>
      <c r="L210" s="2356">
        <f>'Výdaje kapitol celkem'!K74</f>
        <v>9950674</v>
      </c>
      <c r="M210" s="2353">
        <f t="shared" si="4"/>
        <v>416677</v>
      </c>
      <c r="N210" s="2167"/>
    </row>
    <row r="211" spans="1:14" ht="15" hidden="1" outlineLevel="1" thickBot="1">
      <c r="A211" s="2357"/>
      <c r="B211" s="2429"/>
      <c r="C211" s="2430"/>
      <c r="D211" s="2431"/>
      <c r="E211" s="2431"/>
      <c r="F211" s="2431"/>
      <c r="G211" s="2431"/>
      <c r="H211" s="2431"/>
      <c r="I211" s="2431"/>
      <c r="J211" s="2431"/>
      <c r="K211" s="2431"/>
      <c r="L211" s="2432"/>
      <c r="M211" s="2353">
        <f t="shared" si="4"/>
        <v>0</v>
      </c>
      <c r="N211" s="2366"/>
    </row>
    <row r="212" spans="1:14" s="2234" customFormat="1" ht="15" thickBot="1">
      <c r="A212" s="2405" t="s">
        <v>243</v>
      </c>
      <c r="B212" s="2406"/>
      <c r="C212" s="2407"/>
      <c r="D212" s="2408">
        <v>243932554</v>
      </c>
      <c r="E212" s="2408">
        <v>415954204</v>
      </c>
      <c r="F212" s="2408">
        <v>440068727</v>
      </c>
      <c r="G212" s="2408">
        <v>432844418</v>
      </c>
      <c r="H212" s="2408">
        <v>432844418</v>
      </c>
      <c r="I212" s="2408">
        <v>435495078</v>
      </c>
      <c r="J212" s="2408">
        <v>435495078</v>
      </c>
      <c r="K212" s="2408">
        <v>351208186</v>
      </c>
      <c r="L212" s="2409">
        <f>+L207+L194+L142</f>
        <v>317273918</v>
      </c>
      <c r="M212" s="2353">
        <f t="shared" si="4"/>
        <v>-33934268</v>
      </c>
      <c r="N212" s="2167"/>
    </row>
    <row r="213" spans="1:14" s="2291" customFormat="1">
      <c r="A213" s="2164"/>
      <c r="B213" s="2164" t="s">
        <v>244</v>
      </c>
      <c r="C213" s="2397"/>
      <c r="D213" s="2288">
        <v>0</v>
      </c>
      <c r="E213" s="2288">
        <v>0</v>
      </c>
      <c r="F213" s="2288">
        <v>0</v>
      </c>
      <c r="G213" s="2288">
        <v>0</v>
      </c>
      <c r="H213" s="2288">
        <v>0</v>
      </c>
      <c r="I213" s="2288">
        <v>0</v>
      </c>
      <c r="J213" s="2288">
        <v>0</v>
      </c>
      <c r="K213" s="2288">
        <v>0</v>
      </c>
      <c r="L213" s="2288">
        <f>+L212-'Výdaje kapitol celkem'!K77</f>
        <v>0</v>
      </c>
      <c r="M213" s="2353">
        <f t="shared" si="4"/>
        <v>0</v>
      </c>
      <c r="N213" s="2234"/>
    </row>
    <row r="214" spans="1:14" s="2234" customFormat="1" ht="15" thickBot="1">
      <c r="A214" s="2433" t="s">
        <v>2581</v>
      </c>
      <c r="B214" s="2434"/>
      <c r="C214" s="2435"/>
      <c r="D214" s="2436">
        <v>0</v>
      </c>
      <c r="E214" s="2436">
        <v>0</v>
      </c>
      <c r="F214" s="2436">
        <v>0</v>
      </c>
      <c r="G214" s="2436">
        <v>0</v>
      </c>
      <c r="H214" s="2436">
        <v>0</v>
      </c>
      <c r="I214" s="2436">
        <v>0</v>
      </c>
      <c r="J214" s="2436">
        <v>0</v>
      </c>
      <c r="K214" s="2436">
        <v>0</v>
      </c>
      <c r="L214" s="2437">
        <f>+L137-L212</f>
        <v>0</v>
      </c>
      <c r="M214" s="2353">
        <f t="shared" si="4"/>
        <v>0</v>
      </c>
      <c r="N214" s="2291"/>
    </row>
    <row r="215" spans="1:14" s="2291" customFormat="1" ht="15" thickTop="1">
      <c r="A215" s="2164"/>
      <c r="B215" s="2164"/>
      <c r="C215" s="2397"/>
      <c r="D215" s="2288"/>
      <c r="E215" s="2288"/>
      <c r="F215" s="2288"/>
      <c r="G215" s="2288"/>
      <c r="H215" s="2288"/>
      <c r="I215" s="2288"/>
      <c r="J215" s="2288"/>
      <c r="K215" s="2288"/>
      <c r="L215" s="2353"/>
      <c r="M215" s="2288"/>
      <c r="N215" s="2234"/>
    </row>
    <row r="216" spans="1:14" ht="15.75" customHeight="1">
      <c r="A216" s="2162"/>
      <c r="B216" s="2162"/>
      <c r="C216" s="2340"/>
      <c r="D216" s="2206"/>
      <c r="E216" s="2206"/>
      <c r="F216" s="2206"/>
      <c r="G216" s="2206"/>
      <c r="H216" s="2206"/>
      <c r="I216" s="2206"/>
      <c r="J216" s="2206"/>
      <c r="K216" s="2206"/>
      <c r="L216" s="2206"/>
      <c r="M216" s="2288"/>
      <c r="N216" s="2291"/>
    </row>
    <row r="217" spans="1:14" ht="15.75" customHeight="1">
      <c r="A217" s="2162"/>
      <c r="B217" s="2162" t="s">
        <v>785</v>
      </c>
      <c r="C217" s="2340"/>
      <c r="D217" s="2438">
        <v>227481478</v>
      </c>
      <c r="E217" s="2438">
        <v>218496583</v>
      </c>
      <c r="F217" s="2438">
        <v>236222452</v>
      </c>
      <c r="G217" s="2438">
        <v>236499665</v>
      </c>
      <c r="H217" s="2438">
        <v>236499665</v>
      </c>
      <c r="I217" s="2438">
        <v>236753765</v>
      </c>
      <c r="J217" s="2438">
        <v>236753765</v>
      </c>
      <c r="K217" s="2438">
        <v>269847026</v>
      </c>
      <c r="L217" s="2438">
        <f>+L6+L30+L102+L109+L115+L129+L110+L96+L106++L98+L99+L100+L101</f>
        <v>244491695</v>
      </c>
      <c r="M217" s="2288"/>
    </row>
    <row r="218" spans="1:14" ht="15.75" customHeight="1">
      <c r="A218" s="2162"/>
      <c r="B218" s="2162" t="s">
        <v>786</v>
      </c>
      <c r="C218" s="2340"/>
      <c r="D218" s="2438">
        <v>176355233.61176002</v>
      </c>
      <c r="E218" s="2438">
        <v>211246024.9982</v>
      </c>
      <c r="F218" s="2438">
        <v>216404576.9982</v>
      </c>
      <c r="G218" s="2438">
        <v>219573986.9982</v>
      </c>
      <c r="H218" s="2438">
        <v>219573986.9982</v>
      </c>
      <c r="I218" s="2438">
        <v>229296286.9982</v>
      </c>
      <c r="J218" s="2438">
        <v>240125786.9982</v>
      </c>
      <c r="K218" s="2438">
        <v>224257818.08294398</v>
      </c>
      <c r="L218" s="2438">
        <f>+L143+L153</f>
        <v>193288144.016444</v>
      </c>
      <c r="M218" s="2288"/>
    </row>
    <row r="219" spans="1:14" s="2444" customFormat="1" ht="15.75" customHeight="1" thickBot="1">
      <c r="A219" s="2439"/>
      <c r="B219" s="2440" t="s">
        <v>2971</v>
      </c>
      <c r="C219" s="2441"/>
      <c r="D219" s="2442">
        <v>51126244.38823998</v>
      </c>
      <c r="E219" s="2442">
        <v>7250558.0018000007</v>
      </c>
      <c r="F219" s="2442">
        <v>19817875.001800001</v>
      </c>
      <c r="G219" s="2442">
        <v>16925678.001800001</v>
      </c>
      <c r="H219" s="2442">
        <v>16925678.001800001</v>
      </c>
      <c r="I219" s="2442">
        <v>7457478.0018000007</v>
      </c>
      <c r="J219" s="2442">
        <v>-3372021.9981999993</v>
      </c>
      <c r="K219" s="2442">
        <v>45589207.917056024</v>
      </c>
      <c r="L219" s="2442">
        <f>+L217-L218</f>
        <v>51203550.983556002</v>
      </c>
      <c r="M219" s="2443"/>
      <c r="N219" s="2167"/>
    </row>
    <row r="220" spans="1:14" s="2291" customFormat="1" ht="15.75" customHeight="1" thickTop="1">
      <c r="A220" s="2164"/>
      <c r="B220" s="2164" t="s">
        <v>1926</v>
      </c>
      <c r="C220" s="2397"/>
      <c r="D220" s="2445">
        <v>0.77525095740656313</v>
      </c>
      <c r="E220" s="2445">
        <v>0.96681614924019199</v>
      </c>
      <c r="F220" s="2445">
        <v>0.91610503221006279</v>
      </c>
      <c r="G220" s="2445">
        <v>0.92843254978056733</v>
      </c>
      <c r="H220" s="2445">
        <v>0.92843254978056733</v>
      </c>
      <c r="I220" s="2445">
        <v>0.9685011218224977</v>
      </c>
      <c r="J220" s="2445">
        <v>1.0142427386453601</v>
      </c>
      <c r="K220" s="2445">
        <v>0.83105536276298997</v>
      </c>
      <c r="L220" s="2445">
        <f>+L218/L217</f>
        <v>0.7905714098650426</v>
      </c>
      <c r="M220" s="2288"/>
      <c r="N220" s="2444"/>
    </row>
    <row r="221" spans="1:14" ht="15.75" customHeight="1">
      <c r="A221" s="2162"/>
      <c r="B221" s="2162"/>
      <c r="C221" s="2340"/>
      <c r="D221" s="2206"/>
      <c r="E221" s="2206"/>
      <c r="F221" s="2206"/>
      <c r="G221" s="2206"/>
      <c r="H221" s="2206"/>
      <c r="I221" s="2206"/>
      <c r="J221" s="2206"/>
      <c r="K221" s="2206"/>
      <c r="L221" s="2398"/>
      <c r="M221" s="2288"/>
      <c r="N221" s="2291"/>
    </row>
    <row r="222" spans="1:14" ht="15.75" customHeight="1">
      <c r="A222" s="2162"/>
      <c r="B222" s="2162" t="s">
        <v>787</v>
      </c>
      <c r="C222" s="2340"/>
      <c r="D222" s="2438">
        <v>19114264</v>
      </c>
      <c r="E222" s="2438">
        <v>8480967</v>
      </c>
      <c r="F222" s="2438">
        <v>8480967</v>
      </c>
      <c r="G222" s="2438">
        <v>8480967</v>
      </c>
      <c r="H222" s="2438">
        <v>8480967</v>
      </c>
      <c r="I222" s="2438">
        <v>8480967</v>
      </c>
      <c r="J222" s="2438">
        <v>8480967</v>
      </c>
      <c r="K222" s="2438">
        <v>9533997</v>
      </c>
      <c r="L222" s="2438">
        <f t="shared" ref="L222" si="5">+L210</f>
        <v>9950674</v>
      </c>
      <c r="M222" s="2445"/>
    </row>
    <row r="223" spans="1:14" s="2444" customFormat="1" ht="15.75" customHeight="1" thickBot="1">
      <c r="A223" s="2439"/>
      <c r="B223" s="2440" t="s">
        <v>2972</v>
      </c>
      <c r="C223" s="2441"/>
      <c r="D223" s="2442">
        <v>32011980.38823998</v>
      </c>
      <c r="E223" s="2442">
        <v>-1230408.9981999993</v>
      </c>
      <c r="F223" s="2442">
        <v>11336908.001800001</v>
      </c>
      <c r="G223" s="2442">
        <v>8444711.0018000007</v>
      </c>
      <c r="H223" s="2442">
        <v>8444711.0018000007</v>
      </c>
      <c r="I223" s="2442">
        <v>-1023488.9981999993</v>
      </c>
      <c r="J223" s="2442">
        <v>-11852988.998199999</v>
      </c>
      <c r="K223" s="2442">
        <v>36055210.917056024</v>
      </c>
      <c r="L223" s="2442">
        <f>+L219-L222</f>
        <v>41252876.983556002</v>
      </c>
      <c r="M223" s="2443"/>
      <c r="N223" s="2167"/>
    </row>
    <row r="224" spans="1:14" ht="15.75" customHeight="1" thickTop="1">
      <c r="A224" s="2162"/>
      <c r="B224" s="2162"/>
      <c r="C224" s="2340"/>
      <c r="D224" s="2446"/>
      <c r="E224" s="2446"/>
      <c r="F224" s="2446"/>
      <c r="G224" s="2446"/>
      <c r="H224" s="2446"/>
      <c r="I224" s="2446"/>
      <c r="J224" s="2446"/>
      <c r="K224" s="2446"/>
      <c r="L224" s="2446"/>
      <c r="M224" s="2288"/>
      <c r="N224" s="2444"/>
    </row>
    <row r="225" spans="1:14" ht="15.75" customHeight="1">
      <c r="A225" s="2162"/>
      <c r="B225" s="2162" t="s">
        <v>2973</v>
      </c>
      <c r="C225" s="2340"/>
      <c r="D225" s="2438">
        <v>19260576</v>
      </c>
      <c r="E225" s="2438">
        <v>64497621</v>
      </c>
      <c r="F225" s="2438">
        <v>64497621</v>
      </c>
      <c r="G225" s="2438">
        <v>64556099</v>
      </c>
      <c r="H225" s="2438">
        <v>64556099</v>
      </c>
      <c r="I225" s="2438">
        <v>66952659</v>
      </c>
      <c r="J225" s="2438">
        <v>66952659</v>
      </c>
      <c r="K225" s="2438">
        <v>47090630</v>
      </c>
      <c r="L225" s="2438">
        <f>+L94-L102-L109-L115+L88-L110-L129</f>
        <v>24561119</v>
      </c>
      <c r="M225" s="2288"/>
    </row>
    <row r="226" spans="1:14" ht="15.75" customHeight="1">
      <c r="A226" s="2162"/>
      <c r="B226" s="2162" t="s">
        <v>2318</v>
      </c>
      <c r="C226" s="2340"/>
      <c r="D226" s="2438">
        <v>67523654.480000004</v>
      </c>
      <c r="E226" s="2438">
        <v>89155916</v>
      </c>
      <c r="F226" s="2438">
        <v>101467262</v>
      </c>
      <c r="G226" s="2438">
        <v>109192217</v>
      </c>
      <c r="H226" s="2438">
        <v>109192217</v>
      </c>
      <c r="I226" s="2438">
        <v>81874320</v>
      </c>
      <c r="J226" s="2438">
        <v>81874320</v>
      </c>
      <c r="K226" s="2438">
        <v>97971439</v>
      </c>
      <c r="L226" s="2438">
        <f>+L194-L233-L234</f>
        <v>72302976</v>
      </c>
      <c r="M226" s="2288"/>
    </row>
    <row r="227" spans="1:14" s="2444" customFormat="1" ht="15.75" customHeight="1">
      <c r="A227" s="2439"/>
      <c r="B227" s="2447" t="s">
        <v>2578</v>
      </c>
      <c r="C227" s="2448"/>
      <c r="D227" s="2449"/>
      <c r="E227" s="2449">
        <v>-24658295</v>
      </c>
      <c r="F227" s="2449">
        <v>-36969641</v>
      </c>
      <c r="G227" s="2449">
        <v>-44636118</v>
      </c>
      <c r="H227" s="2449">
        <v>-44636118</v>
      </c>
      <c r="I227" s="2449">
        <v>-14921661</v>
      </c>
      <c r="J227" s="2449">
        <v>-14921661</v>
      </c>
      <c r="K227" s="2449">
        <v>-50880809</v>
      </c>
      <c r="L227" s="2449">
        <f>+L225-L226</f>
        <v>-47741857</v>
      </c>
      <c r="M227" s="2443"/>
      <c r="N227" s="2167"/>
    </row>
    <row r="228" spans="1:14" s="2444" customFormat="1" ht="15.75" customHeight="1" thickBot="1">
      <c r="A228" s="2439"/>
      <c r="B228" s="2440" t="s">
        <v>788</v>
      </c>
      <c r="C228" s="2441"/>
      <c r="D228" s="2442">
        <v>-16251098.091760024</v>
      </c>
      <c r="E228" s="2442">
        <v>-25888703.998199999</v>
      </c>
      <c r="F228" s="2442">
        <v>-25632732.998199999</v>
      </c>
      <c r="G228" s="2442">
        <v>-36191406.998199999</v>
      </c>
      <c r="H228" s="2442">
        <v>-36191406.998199999</v>
      </c>
      <c r="I228" s="2442">
        <v>-15945149.998199999</v>
      </c>
      <c r="J228" s="2442">
        <v>-26774649.998199999</v>
      </c>
      <c r="K228" s="2442">
        <v>-14825598.082943976</v>
      </c>
      <c r="L228" s="2450">
        <f>+L223-(-L227)</f>
        <v>-6488980.0164439976</v>
      </c>
      <c r="M228" s="2443"/>
    </row>
    <row r="229" spans="1:14" s="2291" customFormat="1" ht="15.75" customHeight="1" thickTop="1">
      <c r="A229" s="2164"/>
      <c r="B229" s="2164" t="s">
        <v>1927</v>
      </c>
      <c r="C229" s="2397"/>
      <c r="D229" s="2445">
        <v>0.29683143908533954</v>
      </c>
      <c r="E229" s="2445">
        <v>0.40804260998443165</v>
      </c>
      <c r="F229" s="2445">
        <v>0.42954114285461742</v>
      </c>
      <c r="G229" s="2445">
        <v>0.46170136012666235</v>
      </c>
      <c r="H229" s="2445">
        <v>0.46170136012666235</v>
      </c>
      <c r="I229" s="2445">
        <v>0.34582056171313685</v>
      </c>
      <c r="J229" s="2445">
        <v>0.34582056171313685</v>
      </c>
      <c r="K229" s="2445">
        <v>0.36306288215309068</v>
      </c>
      <c r="L229" s="2445">
        <f>+L226/(L217)</f>
        <v>0.29572773831847338</v>
      </c>
      <c r="M229" s="2288"/>
      <c r="N229" s="2444"/>
    </row>
    <row r="230" spans="1:14" ht="15.75" customHeight="1">
      <c r="A230" s="2162"/>
      <c r="B230" s="2162"/>
      <c r="C230" s="2340"/>
      <c r="D230" s="2446"/>
      <c r="E230" s="2446"/>
      <c r="F230" s="2446"/>
      <c r="G230" s="2446"/>
      <c r="H230" s="2446"/>
      <c r="I230" s="2446"/>
      <c r="J230" s="2446"/>
      <c r="K230" s="2446"/>
      <c r="L230" s="2451"/>
      <c r="M230" s="2288"/>
      <c r="N230" s="2291"/>
    </row>
    <row r="231" spans="1:14" s="2444" customFormat="1" ht="15.75" customHeight="1" thickBot="1">
      <c r="A231" s="2439"/>
      <c r="B231" s="2440" t="s">
        <v>2974</v>
      </c>
      <c r="C231" s="2441"/>
      <c r="D231" s="2442">
        <v>14800000</v>
      </c>
      <c r="E231" s="2442">
        <v>103560000</v>
      </c>
      <c r="F231" s="2442">
        <v>109948654</v>
      </c>
      <c r="G231" s="2442">
        <v>102388654</v>
      </c>
      <c r="H231" s="2442">
        <v>102388654</v>
      </c>
      <c r="I231" s="2442">
        <v>102388654</v>
      </c>
      <c r="J231" s="2442">
        <v>102388654</v>
      </c>
      <c r="K231" s="2442">
        <v>34270530</v>
      </c>
      <c r="L231" s="2442">
        <f>+L232+L234+L233</f>
        <v>48341104</v>
      </c>
      <c r="M231" s="2443"/>
      <c r="N231" s="2167"/>
    </row>
    <row r="232" spans="1:14" ht="15.75" customHeight="1" thickTop="1">
      <c r="A232" s="2162"/>
      <c r="B232" s="2162" t="s">
        <v>789</v>
      </c>
      <c r="C232" s="2340"/>
      <c r="D232" s="2438">
        <v>14800000</v>
      </c>
      <c r="E232" s="2438">
        <v>15000000</v>
      </c>
      <c r="F232" s="2438">
        <v>15000000</v>
      </c>
      <c r="G232" s="2438">
        <v>15000000</v>
      </c>
      <c r="H232" s="2438">
        <v>15000000</v>
      </c>
      <c r="I232" s="2438">
        <v>15000000</v>
      </c>
      <c r="J232" s="2438">
        <v>15000000</v>
      </c>
      <c r="K232" s="2438">
        <v>15000000</v>
      </c>
      <c r="L232" s="2438">
        <f>+L132</f>
        <v>15000000</v>
      </c>
      <c r="M232" s="2288"/>
      <c r="N232" s="2444"/>
    </row>
    <row r="233" spans="1:14" ht="15.75" customHeight="1">
      <c r="A233" s="2162"/>
      <c r="B233" s="2162" t="s">
        <v>2975</v>
      </c>
      <c r="C233" s="2340"/>
      <c r="D233" s="2438"/>
      <c r="E233" s="2438">
        <v>7560000</v>
      </c>
      <c r="F233" s="2438">
        <v>7560000</v>
      </c>
      <c r="G233" s="2438">
        <v>0</v>
      </c>
      <c r="H233" s="2438">
        <v>0</v>
      </c>
      <c r="I233" s="2438">
        <v>0</v>
      </c>
      <c r="J233" s="2438">
        <v>0</v>
      </c>
      <c r="K233" s="2438">
        <v>0</v>
      </c>
      <c r="L233" s="2438">
        <f>+L134</f>
        <v>0</v>
      </c>
      <c r="M233" s="2288"/>
    </row>
    <row r="234" spans="1:14" ht="15.75" customHeight="1">
      <c r="A234" s="2162"/>
      <c r="B234" s="2162" t="s">
        <v>2577</v>
      </c>
      <c r="C234" s="2340"/>
      <c r="D234" s="2341"/>
      <c r="E234" s="2341">
        <v>81000000</v>
      </c>
      <c r="F234" s="2341">
        <v>87388654</v>
      </c>
      <c r="G234" s="2341">
        <v>87388654</v>
      </c>
      <c r="H234" s="2341">
        <v>87388654</v>
      </c>
      <c r="I234" s="2341">
        <v>87388654</v>
      </c>
      <c r="J234" s="2341">
        <v>87388654</v>
      </c>
      <c r="K234" s="2341">
        <v>19270530</v>
      </c>
      <c r="L234" s="2438">
        <f>+L135</f>
        <v>33341104</v>
      </c>
      <c r="M234" s="2288"/>
    </row>
    <row r="235" spans="1:14" ht="15.75" customHeight="1">
      <c r="A235" s="2162"/>
      <c r="B235" s="2162"/>
      <c r="C235" s="2340"/>
      <c r="D235" s="2206"/>
      <c r="E235" s="2206"/>
      <c r="F235" s="2206"/>
      <c r="G235" s="2206"/>
      <c r="H235" s="2206"/>
      <c r="I235" s="2206"/>
      <c r="J235" s="2206"/>
      <c r="K235" s="2206"/>
      <c r="L235" s="2206"/>
      <c r="M235" s="2288"/>
    </row>
    <row r="236" spans="1:14" s="2444" customFormat="1">
      <c r="A236" s="2439" t="s">
        <v>657</v>
      </c>
      <c r="B236" s="2439"/>
      <c r="C236" s="2452"/>
      <c r="D236" s="2453">
        <v>9.8482839779024847E-2</v>
      </c>
      <c r="E236" s="2453">
        <v>3.8202931259439729E-2</v>
      </c>
      <c r="F236" s="2453">
        <v>3.758575045793347E-2</v>
      </c>
      <c r="G236" s="2453">
        <v>3.7549553911480835E-2</v>
      </c>
      <c r="H236" s="2453">
        <v>3.7549553911480835E-2</v>
      </c>
      <c r="I236" s="2453">
        <v>3.9005546144843646E-2</v>
      </c>
      <c r="J236" s="2453">
        <v>3.9005546144843646E-2</v>
      </c>
      <c r="K236" s="2453">
        <v>3.9503522421409414E-2</v>
      </c>
      <c r="L236" s="2453">
        <f>+L243/L238</f>
        <v>4.9032992832228069E-2</v>
      </c>
      <c r="M236" s="2443"/>
      <c r="N236" s="2167"/>
    </row>
    <row r="237" spans="1:14">
      <c r="A237" s="2162"/>
      <c r="B237" s="2162"/>
      <c r="C237" s="2340"/>
      <c r="D237" s="2206"/>
      <c r="E237" s="2206"/>
      <c r="F237" s="2206"/>
      <c r="G237" s="2206"/>
      <c r="H237" s="2206"/>
      <c r="I237" s="2206"/>
      <c r="J237" s="2206"/>
      <c r="K237" s="2206"/>
      <c r="L237" s="2206"/>
      <c r="M237" s="2288"/>
      <c r="N237" s="2444"/>
    </row>
    <row r="238" spans="1:14" s="2460" customFormat="1" ht="15" thickBot="1">
      <c r="A238" s="2454"/>
      <c r="B238" s="2455" t="s">
        <v>652</v>
      </c>
      <c r="C238" s="2456"/>
      <c r="D238" s="2457">
        <v>224067554</v>
      </c>
      <c r="E238" s="2457">
        <v>282929204</v>
      </c>
      <c r="F238" s="2457">
        <v>287575073</v>
      </c>
      <c r="G238" s="2457">
        <v>287852286</v>
      </c>
      <c r="H238" s="2457">
        <v>287852286</v>
      </c>
      <c r="I238" s="2457">
        <v>277107386</v>
      </c>
      <c r="J238" s="2457">
        <v>277107386</v>
      </c>
      <c r="K238" s="2457">
        <v>303764178</v>
      </c>
      <c r="L238" s="2457">
        <f>SUM(L239:L241)</f>
        <v>255678336</v>
      </c>
      <c r="M238" s="2458"/>
      <c r="N238" s="2167"/>
    </row>
    <row r="239" spans="1:14" ht="15" thickTop="1">
      <c r="A239" s="2162"/>
      <c r="B239" s="2461" t="s">
        <v>654</v>
      </c>
      <c r="C239" s="2340"/>
      <c r="D239" s="2206">
        <v>165345711</v>
      </c>
      <c r="E239" s="2206">
        <v>175911229</v>
      </c>
      <c r="F239" s="2206">
        <v>178508330</v>
      </c>
      <c r="G239" s="2206">
        <v>178508330</v>
      </c>
      <c r="H239" s="2206">
        <v>178508330</v>
      </c>
      <c r="I239" s="2206">
        <v>178508330</v>
      </c>
      <c r="J239" s="2206">
        <v>178508330</v>
      </c>
      <c r="K239" s="2206">
        <v>213235491</v>
      </c>
      <c r="L239" s="2206">
        <f>+L6-L23</f>
        <v>186035900</v>
      </c>
      <c r="M239" s="2288"/>
      <c r="N239" s="2459"/>
    </row>
    <row r="240" spans="1:14">
      <c r="A240" s="2162"/>
      <c r="B240" s="2461" t="s">
        <v>655</v>
      </c>
      <c r="C240" s="2340"/>
      <c r="D240" s="2206">
        <v>28952967</v>
      </c>
      <c r="E240" s="2206">
        <v>28231954</v>
      </c>
      <c r="F240" s="2206">
        <v>30465922</v>
      </c>
      <c r="G240" s="2206">
        <v>30743135</v>
      </c>
      <c r="H240" s="2206">
        <v>30743135</v>
      </c>
      <c r="I240" s="2206">
        <v>30997235</v>
      </c>
      <c r="J240" s="2206">
        <v>30997235</v>
      </c>
      <c r="K240" s="2206">
        <v>30997235</v>
      </c>
      <c r="L240" s="2206">
        <f>+L30</f>
        <v>32560500</v>
      </c>
      <c r="M240" s="2288"/>
    </row>
    <row r="241" spans="1:14">
      <c r="A241" s="2162"/>
      <c r="B241" s="2461" t="s">
        <v>656</v>
      </c>
      <c r="C241" s="2340"/>
      <c r="D241" s="2206">
        <v>29768876</v>
      </c>
      <c r="E241" s="2206">
        <v>78786021</v>
      </c>
      <c r="F241" s="2206">
        <v>78600821</v>
      </c>
      <c r="G241" s="2206">
        <v>78600821</v>
      </c>
      <c r="H241" s="2206">
        <v>78600821</v>
      </c>
      <c r="I241" s="2206">
        <v>67601821</v>
      </c>
      <c r="J241" s="2206">
        <v>67601821</v>
      </c>
      <c r="K241" s="2206">
        <v>59531452</v>
      </c>
      <c r="L241" s="2206">
        <f>+L94</f>
        <v>37081936</v>
      </c>
      <c r="M241" s="2288"/>
    </row>
    <row r="242" spans="1:14" ht="14.25">
      <c r="A242" s="2162"/>
      <c r="B242" s="2162"/>
      <c r="C242" s="2288"/>
      <c r="D242" s="2162"/>
      <c r="E242" s="2162"/>
      <c r="F242" s="2162"/>
      <c r="G242" s="2162"/>
      <c r="H242" s="2162"/>
      <c r="I242" s="2162"/>
      <c r="J242" s="2162"/>
      <c r="K242" s="2162"/>
      <c r="L242" s="2162"/>
      <c r="M242" s="2164"/>
    </row>
    <row r="243" spans="1:14" s="2460" customFormat="1" ht="15" thickBot="1">
      <c r="A243" s="2454"/>
      <c r="B243" s="2455" t="s">
        <v>653</v>
      </c>
      <c r="C243" s="2456"/>
      <c r="D243" s="2457">
        <v>22066809.020259999</v>
      </c>
      <c r="E243" s="2457">
        <v>10808724.931700001</v>
      </c>
      <c r="F243" s="2457">
        <v>10808724.931700001</v>
      </c>
      <c r="G243" s="2457">
        <v>10808724.931700001</v>
      </c>
      <c r="H243" s="2457">
        <v>10808724.931700001</v>
      </c>
      <c r="I243" s="2457">
        <v>10808724.931700001</v>
      </c>
      <c r="J243" s="2457">
        <v>10808724.931700001</v>
      </c>
      <c r="K243" s="2457">
        <v>11999755.016443999</v>
      </c>
      <c r="L243" s="2457">
        <f>SUM(L244:L245)</f>
        <v>12536674.016443999</v>
      </c>
      <c r="M243" s="2458"/>
      <c r="N243" s="2167"/>
    </row>
    <row r="244" spans="1:14" ht="15" thickTop="1">
      <c r="A244" s="2162"/>
      <c r="B244" s="2461" t="s">
        <v>129</v>
      </c>
      <c r="C244" s="2340"/>
      <c r="D244" s="2206">
        <v>2952545.0202600001</v>
      </c>
      <c r="E244" s="2206">
        <v>2327757.9317000001</v>
      </c>
      <c r="F244" s="2206">
        <v>2327757.9317000001</v>
      </c>
      <c r="G244" s="2206">
        <v>2327757.9317000001</v>
      </c>
      <c r="H244" s="2206">
        <v>2327757.9317000001</v>
      </c>
      <c r="I244" s="2206">
        <v>2327757.9317000001</v>
      </c>
      <c r="J244" s="2206">
        <v>2327757.9317000001</v>
      </c>
      <c r="K244" s="2206">
        <v>2465758.016443999</v>
      </c>
      <c r="L244" s="2206">
        <f>+L191+L193</f>
        <v>2586000.016443999</v>
      </c>
      <c r="M244" s="2288"/>
      <c r="N244" s="2459"/>
    </row>
    <row r="245" spans="1:14">
      <c r="A245" s="2162"/>
      <c r="B245" s="2461" t="s">
        <v>738</v>
      </c>
      <c r="C245" s="2340"/>
      <c r="D245" s="2206">
        <v>19114264</v>
      </c>
      <c r="E245" s="2206">
        <v>8480967</v>
      </c>
      <c r="F245" s="2206">
        <v>8480967</v>
      </c>
      <c r="G245" s="2206">
        <v>8480967</v>
      </c>
      <c r="H245" s="2206">
        <v>8480967</v>
      </c>
      <c r="I245" s="2206">
        <v>8480967</v>
      </c>
      <c r="J245" s="2206">
        <v>8480967</v>
      </c>
      <c r="K245" s="2206">
        <v>9533997</v>
      </c>
      <c r="L245" s="2206">
        <f>+L210</f>
        <v>9950674</v>
      </c>
      <c r="M245" s="2288"/>
    </row>
    <row r="246" spans="1:14">
      <c r="A246" s="3015">
        <v>0.56111111111111112</v>
      </c>
      <c r="B246" s="2162"/>
      <c r="C246" s="2340"/>
      <c r="D246" s="2206"/>
      <c r="E246" s="2206"/>
      <c r="F246" s="2206"/>
      <c r="G246" s="2206"/>
      <c r="H246" s="2206"/>
      <c r="I246" s="2206"/>
      <c r="J246" s="2206"/>
      <c r="K246" s="2206"/>
      <c r="L246" s="2398"/>
      <c r="M246" s="2288"/>
    </row>
    <row r="247" spans="1:14">
      <c r="A247" s="2163" t="s">
        <v>245</v>
      </c>
      <c r="B247" s="2162"/>
      <c r="C247" s="2340"/>
      <c r="D247" s="2206"/>
      <c r="E247" s="2206"/>
      <c r="F247" s="2206"/>
      <c r="G247" s="2206"/>
      <c r="H247" s="2206"/>
      <c r="I247" s="2206"/>
      <c r="J247" s="2206"/>
      <c r="K247" s="2206"/>
      <c r="L247" s="2206"/>
      <c r="M247" s="2288"/>
    </row>
    <row r="248" spans="1:14" s="2234" customFormat="1">
      <c r="A248" s="2163"/>
      <c r="B248" s="2163" t="s">
        <v>246</v>
      </c>
      <c r="C248" s="2340"/>
      <c r="D248" s="2168">
        <v>48064408.38823998</v>
      </c>
      <c r="E248" s="2168">
        <v>7250558.0018000007</v>
      </c>
      <c r="F248" s="2168">
        <v>6737875.0018000007</v>
      </c>
      <c r="G248" s="2168">
        <v>3845678.0018000007</v>
      </c>
      <c r="H248" s="2168">
        <v>3845678.0018000007</v>
      </c>
      <c r="I248" s="2168">
        <v>-5622521.9981999993</v>
      </c>
      <c r="J248" s="2168">
        <v>-16452021.998199999</v>
      </c>
      <c r="K248" s="2168">
        <v>32539207.917056024</v>
      </c>
      <c r="L248" s="2168">
        <f>+L6+L30+L102+L110-L142-L23+L129+L109</f>
        <v>38033550.983556002</v>
      </c>
      <c r="M248" s="2458"/>
      <c r="N248" s="2167"/>
    </row>
    <row r="249" spans="1:14" s="2460" customFormat="1" ht="15" thickBot="1">
      <c r="A249" s="2163"/>
      <c r="B249" s="2455" t="s">
        <v>247</v>
      </c>
      <c r="C249" s="2456"/>
      <c r="D249" s="2462">
        <v>0.22901775094643639</v>
      </c>
      <c r="E249" s="2462">
        <v>3.3515792680199268E-2</v>
      </c>
      <c r="F249" s="2462">
        <v>2.8787146732902433E-2</v>
      </c>
      <c r="G249" s="2462">
        <v>1.6406886079060434E-2</v>
      </c>
      <c r="H249" s="2462">
        <v>1.6406886079060434E-2</v>
      </c>
      <c r="I249" s="2462">
        <v>-2.2667456030739858E-2</v>
      </c>
      <c r="J249" s="2462">
        <v>-6.6327083358740463E-2</v>
      </c>
      <c r="K249" s="2462">
        <v>0.12153217723411318</v>
      </c>
      <c r="L249" s="2462">
        <f>L248/(L6+L30+L102+L109+L88+L129)</f>
        <v>0.15714260397977495</v>
      </c>
      <c r="M249" s="2463"/>
      <c r="N249" s="2234"/>
    </row>
    <row r="250" spans="1:14" ht="15" thickTop="1">
      <c r="A250" s="2163"/>
      <c r="B250" s="2162"/>
      <c r="C250" s="2340"/>
      <c r="D250" s="2206"/>
      <c r="E250" s="2206"/>
      <c r="F250" s="2206"/>
      <c r="G250" s="2206"/>
      <c r="H250" s="2206"/>
      <c r="I250" s="2206"/>
      <c r="J250" s="2206"/>
      <c r="K250" s="2206"/>
      <c r="L250" s="2206"/>
      <c r="M250" s="2288"/>
      <c r="N250" s="2460"/>
    </row>
    <row r="251" spans="1:14" s="2234" customFormat="1">
      <c r="A251" s="2163"/>
      <c r="B251" s="2163" t="s">
        <v>676</v>
      </c>
      <c r="C251" s="2458"/>
      <c r="D251" s="2464">
        <v>2.9359456516531016E-8</v>
      </c>
      <c r="E251" s="2464"/>
      <c r="F251" s="2464"/>
      <c r="G251" s="2464"/>
      <c r="H251" s="2464"/>
      <c r="I251" s="2464"/>
      <c r="J251" s="2464"/>
      <c r="K251" s="2464"/>
      <c r="L251" s="2465"/>
      <c r="M251" s="2458"/>
      <c r="N251" s="2167"/>
    </row>
    <row r="252" spans="1:14">
      <c r="A252" s="2163"/>
      <c r="B252" s="2461" t="s">
        <v>2544</v>
      </c>
      <c r="C252" s="2340">
        <v>1.4</v>
      </c>
      <c r="D252" s="2466">
        <f>+((D6+D30+D94-D104-D118)-(D143+D153-D191))/(D191+D210)</f>
        <v>3.3887604383508148</v>
      </c>
      <c r="E252" s="2466">
        <v>6.847332816883843</v>
      </c>
      <c r="F252" s="2466">
        <v>8.0100339753842675</v>
      </c>
      <c r="G252" s="2466">
        <v>7.7424541250063816</v>
      </c>
      <c r="H252" s="2466">
        <v>7.7424541250063816</v>
      </c>
      <c r="I252" s="2466">
        <v>5.8488727701905638</v>
      </c>
      <c r="J252" s="2466">
        <v>4.8469507055223184</v>
      </c>
      <c r="K252" s="2466">
        <v>7.9186714898166999</v>
      </c>
      <c r="L252" s="2466">
        <f>+((L6+L30+L94)-(L143+L153-L191))/(L191+L210)</f>
        <v>6.2238351174845308</v>
      </c>
      <c r="M252" s="2288"/>
      <c r="N252" s="2234"/>
    </row>
    <row r="253" spans="1:14">
      <c r="A253" s="2163"/>
      <c r="B253" s="2461"/>
      <c r="C253" s="2340"/>
      <c r="D253" s="2467">
        <v>22066809.020259999</v>
      </c>
      <c r="E253" s="2467">
        <v>10808724.931700001</v>
      </c>
      <c r="F253" s="2467">
        <v>10808724.931700001</v>
      </c>
      <c r="G253" s="2467">
        <v>10808724.931700001</v>
      </c>
      <c r="H253" s="2467">
        <v>10808724.931700001</v>
      </c>
      <c r="I253" s="2467">
        <v>10808724.931700001</v>
      </c>
      <c r="J253" s="2467">
        <v>10808724.931700001</v>
      </c>
      <c r="K253" s="2467">
        <v>11999755.016443999</v>
      </c>
      <c r="L253" s="2467">
        <f>+L243</f>
        <v>12536674.016443999</v>
      </c>
      <c r="M253" s="2288"/>
    </row>
    <row r="254" spans="1:14" ht="28.9">
      <c r="A254" s="2162"/>
      <c r="B254" s="2461"/>
      <c r="C254" s="2340"/>
      <c r="D254" s="2468" t="s">
        <v>1576</v>
      </c>
      <c r="E254" s="2468" t="s">
        <v>1802</v>
      </c>
      <c r="F254" s="2468" t="s">
        <v>1803</v>
      </c>
      <c r="G254" s="2468" t="s">
        <v>1803</v>
      </c>
      <c r="H254" s="2468" t="s">
        <v>1803</v>
      </c>
      <c r="I254" s="2468" t="s">
        <v>1803</v>
      </c>
      <c r="J254" s="2468" t="s">
        <v>1803</v>
      </c>
      <c r="K254" s="2468" t="s">
        <v>1803</v>
      </c>
      <c r="L254" s="2468" t="s">
        <v>1803</v>
      </c>
      <c r="M254" s="2288"/>
    </row>
    <row r="255" spans="1:14" s="2234" customFormat="1" ht="15" thickBot="1">
      <c r="A255" s="2163"/>
      <c r="B255" s="2469" t="s">
        <v>726</v>
      </c>
      <c r="C255" s="2470"/>
      <c r="D255" s="2471">
        <v>126137552</v>
      </c>
      <c r="E255" s="2471">
        <v>119478441.8705</v>
      </c>
      <c r="F255" s="2471">
        <f>SUM(F256:F261)</f>
        <v>114119774</v>
      </c>
      <c r="G255" s="2471">
        <v>114119774</v>
      </c>
      <c r="H255" s="2471">
        <v>114119774</v>
      </c>
      <c r="I255" s="2471">
        <v>114119774</v>
      </c>
      <c r="J255" s="2471">
        <v>114119774</v>
      </c>
      <c r="K255" s="2471">
        <v>114119774</v>
      </c>
      <c r="L255" s="2471">
        <f>SUM(L256:L261)</f>
        <v>114119774</v>
      </c>
      <c r="M255" s="2458"/>
      <c r="N255" s="2167"/>
    </row>
    <row r="256" spans="1:14" s="2234" customFormat="1" ht="15" thickTop="1">
      <c r="A256" s="2163"/>
      <c r="B256" s="2473" t="s">
        <v>728</v>
      </c>
      <c r="C256" s="2340"/>
      <c r="D256" s="2438">
        <v>11818172</v>
      </c>
      <c r="E256" s="2438">
        <v>409080</v>
      </c>
      <c r="F256" s="2438">
        <v>0</v>
      </c>
      <c r="G256" s="2438">
        <v>0</v>
      </c>
      <c r="H256" s="2438">
        <v>0</v>
      </c>
      <c r="I256" s="2438">
        <v>0</v>
      </c>
      <c r="J256" s="2438">
        <v>0</v>
      </c>
      <c r="K256" s="2438">
        <v>0</v>
      </c>
      <c r="L256" s="2438">
        <v>0</v>
      </c>
      <c r="M256" s="2458"/>
      <c r="N256" s="2472"/>
    </row>
    <row r="257" spans="1:14" s="2234" customFormat="1">
      <c r="A257" s="2163"/>
      <c r="B257" s="2473" t="s">
        <v>729</v>
      </c>
      <c r="C257" s="2340"/>
      <c r="D257" s="2438">
        <v>72938360</v>
      </c>
      <c r="E257" s="2438">
        <v>67819868</v>
      </c>
      <c r="F257" s="2438">
        <v>62274825</v>
      </c>
      <c r="G257" s="2438">
        <v>62274825</v>
      </c>
      <c r="H257" s="2438">
        <v>62274825</v>
      </c>
      <c r="I257" s="2438">
        <v>62274825</v>
      </c>
      <c r="J257" s="2438">
        <v>62274825</v>
      </c>
      <c r="K257" s="2438">
        <v>62274825</v>
      </c>
      <c r="L257" s="2438">
        <v>62274825</v>
      </c>
      <c r="M257" s="2458"/>
      <c r="N257" s="2472"/>
    </row>
    <row r="258" spans="1:14" s="2234" customFormat="1">
      <c r="A258" s="2163"/>
      <c r="B258" s="2473" t="s">
        <v>765</v>
      </c>
      <c r="C258" s="2340"/>
      <c r="D258" s="2438">
        <v>26037720</v>
      </c>
      <c r="E258" s="2438">
        <v>23773560</v>
      </c>
      <c r="F258" s="2438">
        <v>21509400</v>
      </c>
      <c r="G258" s="2438">
        <v>21509400</v>
      </c>
      <c r="H258" s="2438">
        <v>21509400</v>
      </c>
      <c r="I258" s="2438">
        <v>21509400</v>
      </c>
      <c r="J258" s="2438">
        <v>21509400</v>
      </c>
      <c r="K258" s="2438">
        <v>21509400</v>
      </c>
      <c r="L258" s="2438">
        <v>21509400</v>
      </c>
      <c r="M258" s="2458"/>
      <c r="N258" s="2472"/>
    </row>
    <row r="259" spans="1:14" s="2444" customFormat="1">
      <c r="A259" s="2439"/>
      <c r="B259" s="2474" t="s">
        <v>2316</v>
      </c>
      <c r="C259" s="2458"/>
      <c r="D259" s="2348">
        <v>13260000</v>
      </c>
      <c r="E259" s="2348">
        <v>14297184.8705</v>
      </c>
      <c r="F259" s="2348">
        <v>13803582</v>
      </c>
      <c r="G259" s="2348">
        <v>13803582</v>
      </c>
      <c r="H259" s="2348">
        <v>13803582</v>
      </c>
      <c r="I259" s="2348">
        <v>13803582</v>
      </c>
      <c r="J259" s="2348">
        <v>13803582</v>
      </c>
      <c r="K259" s="2348">
        <v>13803582</v>
      </c>
      <c r="L259" s="2348">
        <v>13803582</v>
      </c>
      <c r="M259" s="2458"/>
      <c r="N259" s="2472"/>
    </row>
    <row r="260" spans="1:14" s="2444" customFormat="1">
      <c r="A260" s="2439"/>
      <c r="B260" s="2473" t="s">
        <v>1575</v>
      </c>
      <c r="C260" s="2443"/>
      <c r="D260" s="2438">
        <v>2083300</v>
      </c>
      <c r="E260" s="2438">
        <v>13178749</v>
      </c>
      <c r="F260" s="2438">
        <v>13920622</v>
      </c>
      <c r="G260" s="2438">
        <v>13920622</v>
      </c>
      <c r="H260" s="2438">
        <v>13920622</v>
      </c>
      <c r="I260" s="2438">
        <v>13920622</v>
      </c>
      <c r="J260" s="2438">
        <v>13920622</v>
      </c>
      <c r="K260" s="2438">
        <v>13920622</v>
      </c>
      <c r="L260" s="2438">
        <v>13920622</v>
      </c>
      <c r="M260" s="2458"/>
    </row>
    <row r="261" spans="1:14" s="2444" customFormat="1">
      <c r="A261" s="2439"/>
      <c r="B261" s="2475" t="s">
        <v>2579</v>
      </c>
      <c r="C261" s="2476"/>
      <c r="D261" s="2477"/>
      <c r="E261" s="2477"/>
      <c r="F261" s="2477">
        <v>2611345</v>
      </c>
      <c r="G261" s="2477">
        <v>2611345</v>
      </c>
      <c r="H261" s="2477">
        <v>2611345</v>
      </c>
      <c r="I261" s="2477">
        <v>2611345</v>
      </c>
      <c r="J261" s="2477">
        <v>2611345</v>
      </c>
      <c r="K261" s="2477">
        <v>2611345</v>
      </c>
      <c r="L261" s="2477">
        <v>2611345</v>
      </c>
      <c r="M261" s="2458"/>
    </row>
    <row r="262" spans="1:14" s="2444" customFormat="1">
      <c r="A262" s="2316" t="s">
        <v>545</v>
      </c>
      <c r="B262" s="2478"/>
      <c r="C262" s="2479"/>
      <c r="D262" s="2479"/>
      <c r="E262" s="2479"/>
      <c r="F262" s="2479"/>
      <c r="G262" s="2479"/>
      <c r="H262" s="2479"/>
      <c r="I262" s="2479"/>
      <c r="J262" s="2479"/>
      <c r="K262" s="2479"/>
      <c r="L262" s="2479"/>
      <c r="M262" s="2310"/>
    </row>
    <row r="263" spans="1:14">
      <c r="N263" s="2444"/>
    </row>
  </sheetData>
  <sheetProtection algorithmName="SHA-512" hashValue="VzqMxDvzMLtSxsgv8TC304nHvDnYV7/TnZ5vmKNzTONdSx+a259eZvWhP/GbnrszKj2ddMF1dyLM61jO5Gs1jA==" saltValue="MI5VB4Ffy7PKpekMsBAosQ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8" type="noConversion"/>
  <pageMargins left="0.70866141732283472" right="0.70866141732283472" top="0.39370078740157483" bottom="0.39370078740157483" header="0.31496062992125984" footer="0.31496062992125984"/>
  <pageSetup paperSize="9" scale="59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Q84"/>
  <sheetViews>
    <sheetView topLeftCell="A6" zoomScale="81" zoomScaleNormal="81" workbookViewId="0">
      <pane xSplit="11" ySplit="2" topLeftCell="R55" activePane="bottomRight" state="frozen"/>
      <selection activeCell="A6" sqref="A6"/>
      <selection pane="topRight" activeCell="L6" sqref="L6"/>
      <selection pane="bottomLeft" activeCell="A8" sqref="A8"/>
      <selection pane="bottomRight" activeCell="U60" sqref="U60"/>
    </sheetView>
  </sheetViews>
  <sheetFormatPr defaultColWidth="9" defaultRowHeight="14.65" outlineLevelRow="1" outlineLevelCol="4"/>
  <cols>
    <col min="1" max="1" width="8" style="2320" customWidth="1"/>
    <col min="2" max="2" width="37.265625" style="2167" customWidth="1"/>
    <col min="3" max="3" width="13" style="2167" hidden="1" customWidth="1" outlineLevel="4"/>
    <col min="4" max="4" width="16.265625" style="2167" customWidth="1" outlineLevel="4"/>
    <col min="5" max="7" width="14.265625" style="2167" hidden="1" customWidth="1" outlineLevel="4"/>
    <col min="8" max="8" width="17" style="2167" hidden="1" customWidth="1" outlineLevel="4"/>
    <col min="9" max="10" width="17" style="2167" customWidth="1" outlineLevel="4"/>
    <col min="11" max="11" width="16.265625" style="2321" customWidth="1"/>
    <col min="12" max="12" width="14.59765625" style="2208" bestFit="1" customWidth="1"/>
    <col min="13" max="13" width="15" style="2208" customWidth="1"/>
    <col min="14" max="14" width="19" style="2208" customWidth="1"/>
    <col min="15" max="15" width="15" style="2208" customWidth="1"/>
    <col min="16" max="16" width="16.265625" style="2208" customWidth="1"/>
    <col min="17" max="17" width="17.73046875" style="2208" customWidth="1"/>
    <col min="18" max="18" width="17.59765625" style="2208" customWidth="1"/>
    <col min="19" max="19" width="12.265625" style="2208" customWidth="1"/>
    <col min="20" max="20" width="13.73046875" style="2208" customWidth="1"/>
    <col min="21" max="21" width="15" style="2229" customWidth="1" outlineLevel="1"/>
    <col min="22" max="22" width="8.73046875" style="2229" customWidth="1" outlineLevel="1"/>
    <col min="23" max="32" width="15" style="2208" customWidth="1"/>
    <col min="33" max="33" width="10.73046875" style="2208" customWidth="1"/>
    <col min="34" max="34" width="11.73046875" style="2208" bestFit="1" customWidth="1"/>
    <col min="35" max="35" width="13" style="2208" customWidth="1"/>
    <col min="36" max="36" width="14.86328125" style="2229" customWidth="1" outlineLevel="1"/>
    <col min="37" max="37" width="8.73046875" style="2229" bestFit="1" customWidth="1" outlineLevel="1"/>
    <col min="38" max="38" width="13.86328125" style="2208" bestFit="1" customWidth="1"/>
    <col min="39" max="39" width="13.86328125" style="2229" bestFit="1" customWidth="1" outlineLevel="1"/>
    <col min="40" max="40" width="9.86328125" style="2229" customWidth="1" outlineLevel="1"/>
    <col min="41" max="41" width="12.265625" style="2208" bestFit="1" customWidth="1"/>
    <col min="42" max="42" width="12.265625" style="2229" bestFit="1" customWidth="1" outlineLevel="1"/>
    <col min="43" max="43" width="8.265625" style="2229" customWidth="1" outlineLevel="1"/>
    <col min="44" max="44" width="13.86328125" style="2208" bestFit="1" customWidth="1"/>
    <col min="45" max="45" width="12.265625" style="2208" bestFit="1" customWidth="1"/>
    <col min="46" max="46" width="9" style="2208" bestFit="1" customWidth="1"/>
    <col min="47" max="47" width="10" style="2208" bestFit="1" customWidth="1"/>
    <col min="48" max="48" width="10" style="2229" bestFit="1" customWidth="1" outlineLevel="1"/>
    <col min="49" max="49" width="7.86328125" style="2229" bestFit="1" customWidth="1" outlineLevel="1"/>
    <col min="50" max="50" width="14.265625" style="2208" customWidth="1"/>
    <col min="51" max="51" width="11.265625" style="2229" bestFit="1" customWidth="1" outlineLevel="1"/>
    <col min="52" max="52" width="8.73046875" style="2229" bestFit="1" customWidth="1" outlineLevel="1"/>
    <col min="53" max="53" width="12.265625" style="2208" bestFit="1" customWidth="1"/>
    <col min="54" max="54" width="12.265625" style="2229" bestFit="1" customWidth="1" outlineLevel="1"/>
    <col min="55" max="55" width="10" style="2229" bestFit="1" customWidth="1" outlineLevel="1"/>
    <col min="56" max="56" width="12.265625" style="2208" bestFit="1" customWidth="1"/>
    <col min="57" max="57" width="12.265625" style="2229" bestFit="1" customWidth="1" outlineLevel="1"/>
    <col min="58" max="58" width="8.73046875" style="2229" bestFit="1" customWidth="1" outlineLevel="1"/>
    <col min="59" max="59" width="17.59765625" style="2208" customWidth="1"/>
    <col min="60" max="60" width="12.86328125" style="2229" bestFit="1" customWidth="1" outlineLevel="1"/>
    <col min="61" max="61" width="10.59765625" style="2229" customWidth="1" outlineLevel="1"/>
    <col min="62" max="62" width="13.265625" style="2208" customWidth="1"/>
    <col min="63" max="63" width="11.86328125" style="2229" bestFit="1" customWidth="1" outlineLevel="1"/>
    <col min="64" max="64" width="11" style="2229" customWidth="1" outlineLevel="1"/>
    <col min="65" max="65" width="10.86328125" style="2208" bestFit="1" customWidth="1"/>
    <col min="66" max="66" width="10.86328125" style="2229" customWidth="1" outlineLevel="1"/>
    <col min="67" max="67" width="13.86328125" style="2229" customWidth="1" outlineLevel="1"/>
    <col min="68" max="68" width="13.265625" style="2208" customWidth="1"/>
    <col min="69" max="69" width="11.265625" style="2229" bestFit="1" customWidth="1" outlineLevel="1"/>
    <col min="70" max="70" width="7.86328125" style="2229" customWidth="1" outlineLevel="1"/>
    <col min="71" max="71" width="13.86328125" style="2208" customWidth="1"/>
    <col min="72" max="72" width="11.265625" style="2229" bestFit="1" customWidth="1" outlineLevel="1"/>
    <col min="73" max="73" width="7.86328125" style="2229" bestFit="1" customWidth="1" outlineLevel="1"/>
    <col min="74" max="74" width="13.265625" style="2208" customWidth="1"/>
    <col min="75" max="75" width="11.265625" style="2229" customWidth="1" outlineLevel="1"/>
    <col min="76" max="76" width="7.86328125" style="2229" customWidth="1" outlineLevel="1"/>
    <col min="77" max="77" width="13.59765625" style="2208" customWidth="1"/>
    <col min="78" max="78" width="11.265625" style="2229" bestFit="1" customWidth="1" outlineLevel="1"/>
    <col min="79" max="79" width="9.265625" style="2229" customWidth="1" outlineLevel="1"/>
    <col min="80" max="80" width="14" style="2208" bestFit="1" customWidth="1"/>
    <col min="81" max="81" width="13.73046875" style="2208" customWidth="1"/>
    <col min="82" max="82" width="14.73046875" style="2229" customWidth="1" outlineLevel="1"/>
    <col min="83" max="83" width="11.265625" style="2229" customWidth="1" outlineLevel="1"/>
    <col min="84" max="84" width="11.265625" style="2208" customWidth="1"/>
    <col min="85" max="85" width="15" style="2208" customWidth="1"/>
    <col min="86" max="86" width="12.265625" style="2229" bestFit="1" customWidth="1" outlineLevel="1"/>
    <col min="87" max="87" width="10" style="2229" bestFit="1" customWidth="1" outlineLevel="1"/>
    <col min="88" max="88" width="13.86328125" style="2208" bestFit="1" customWidth="1"/>
    <col min="89" max="89" width="13.73046875" style="2229" customWidth="1" outlineLevel="1"/>
    <col min="90" max="90" width="11.86328125" style="2229" bestFit="1" customWidth="1" outlineLevel="1"/>
    <col min="91" max="91" width="18.86328125" style="2208" bestFit="1" customWidth="1"/>
    <col min="92" max="92" width="13.86328125" style="2208" bestFit="1" customWidth="1"/>
    <col min="93" max="93" width="12.265625" style="2229" bestFit="1" customWidth="1" outlineLevel="2"/>
    <col min="94" max="94" width="8.73046875" style="2229" bestFit="1" customWidth="1" outlineLevel="2"/>
    <col min="95" max="95" width="14" style="2208" bestFit="1" customWidth="1"/>
    <col min="96" max="96" width="11" style="2229" bestFit="1" customWidth="1" outlineLevel="2"/>
    <col min="97" max="97" width="8" style="2229" customWidth="1" outlineLevel="2"/>
    <col min="98" max="98" width="21" style="2208" bestFit="1" customWidth="1"/>
    <col min="99" max="99" width="12" style="2229" bestFit="1" customWidth="1" outlineLevel="2"/>
    <col min="100" max="100" width="9.265625" style="2229" customWidth="1" outlineLevel="2"/>
    <col min="101" max="101" width="16" style="2208" customWidth="1"/>
    <col min="102" max="102" width="11.265625" style="2229" bestFit="1" customWidth="1" outlineLevel="2"/>
    <col min="103" max="103" width="10.265625" style="2229" customWidth="1" outlineLevel="2"/>
    <col min="104" max="104" width="19.86328125" style="2208" bestFit="1" customWidth="1"/>
    <col min="105" max="105" width="11.86328125" style="2229" bestFit="1" customWidth="1" outlineLevel="1"/>
    <col min="106" max="106" width="9.86328125" style="2229" customWidth="1" outlineLevel="1"/>
    <col min="107" max="107" width="15.86328125" style="2208" customWidth="1"/>
    <col min="108" max="108" width="13" style="2208" bestFit="1" customWidth="1"/>
    <col min="109" max="109" width="11" style="2229" customWidth="1" outlineLevel="1"/>
    <col min="110" max="110" width="11.86328125" style="2229" bestFit="1" customWidth="1" outlineLevel="1"/>
    <col min="111" max="111" width="13" style="2208" hidden="1" customWidth="1"/>
    <col min="112" max="112" width="12" style="2229" hidden="1" customWidth="1" outlineLevel="1"/>
    <col min="113" max="113" width="11" style="2229" hidden="1" customWidth="1" outlineLevel="1"/>
    <col min="114" max="114" width="19.86328125" style="2208" bestFit="1" customWidth="1" collapsed="1"/>
    <col min="115" max="115" width="9.59765625" style="2229" customWidth="1" outlineLevel="1"/>
    <col min="116" max="116" width="9" style="2229" customWidth="1" outlineLevel="1"/>
    <col min="117" max="117" width="15.265625" style="2208" bestFit="1" customWidth="1"/>
    <col min="118" max="118" width="14.265625" style="2208" customWidth="1"/>
    <col min="119" max="119" width="14.86328125" style="2229" customWidth="1" outlineLevel="1"/>
    <col min="120" max="120" width="6.86328125" style="2229" customWidth="1" outlineLevel="1"/>
    <col min="121" max="121" width="14.59765625" style="2229" customWidth="1" outlineLevel="1"/>
    <col min="122" max="122" width="12.265625" style="2208" customWidth="1"/>
    <col min="123" max="123" width="10.86328125" style="2208" bestFit="1" customWidth="1"/>
    <col min="124" max="124" width="13" style="2208" bestFit="1" customWidth="1"/>
    <col min="125" max="125" width="10.86328125" style="2208" bestFit="1" customWidth="1"/>
    <col min="126" max="126" width="11.86328125" style="2208" bestFit="1" customWidth="1"/>
    <col min="127" max="127" width="14" style="2208" bestFit="1" customWidth="1"/>
    <col min="128" max="128" width="8.73046875" style="2208" bestFit="1" customWidth="1"/>
    <col min="129" max="129" width="17.73046875" style="2208" hidden="1" customWidth="1"/>
    <col min="130" max="130" width="10.86328125" style="2229" customWidth="1" outlineLevel="1"/>
    <col min="131" max="131" width="11.265625" style="2229" customWidth="1" outlineLevel="1"/>
    <col min="132" max="132" width="10.86328125" style="2208" bestFit="1" customWidth="1"/>
    <col min="133" max="133" width="14.86328125" style="2208" customWidth="1"/>
    <col min="134" max="134" width="10" style="2208" customWidth="1"/>
    <col min="135" max="135" width="14.73046875" style="2167" customWidth="1"/>
    <col min="136" max="136" width="15.73046875" style="2318" customWidth="1"/>
    <col min="137" max="137" width="7.265625" style="2319" customWidth="1"/>
    <col min="138" max="138" width="14.265625" style="2208" customWidth="1"/>
    <col min="139" max="139" width="15" style="2319" bestFit="1" customWidth="1"/>
    <col min="140" max="140" width="14.265625" style="2208" customWidth="1"/>
    <col min="141" max="141" width="9" style="2167" customWidth="1"/>
    <col min="142" max="142" width="10.86328125" style="2167" bestFit="1" customWidth="1"/>
    <col min="143" max="145" width="9" style="2167"/>
    <col min="146" max="146" width="9.86328125" style="2167" bestFit="1" customWidth="1"/>
    <col min="147" max="16384" width="9" style="2167"/>
  </cols>
  <sheetData>
    <row r="1" spans="1:147" ht="16.5" customHeight="1">
      <c r="A1" s="2161"/>
      <c r="B1" s="2162"/>
      <c r="C1" s="2162"/>
      <c r="D1" s="2162"/>
      <c r="E1" s="2162"/>
      <c r="F1" s="2162"/>
      <c r="G1" s="2162"/>
      <c r="H1" s="2162"/>
      <c r="I1" s="2162"/>
      <c r="J1" s="2162"/>
      <c r="K1" s="2163"/>
      <c r="L1" s="2162"/>
      <c r="M1" s="2162"/>
      <c r="N1" s="2162"/>
      <c r="O1" s="2162"/>
      <c r="P1" s="2162"/>
      <c r="Q1" s="2162"/>
      <c r="R1" s="2162"/>
      <c r="S1" s="2162"/>
      <c r="T1" s="2162"/>
      <c r="U1" s="2164"/>
      <c r="V1" s="2164"/>
      <c r="W1" s="2162"/>
      <c r="X1" s="2162"/>
      <c r="Y1" s="2162"/>
      <c r="Z1" s="2162"/>
      <c r="AA1" s="2162"/>
      <c r="AB1" s="2162"/>
      <c r="AC1" s="2162"/>
      <c r="AD1" s="2162"/>
      <c r="AE1" s="2162"/>
      <c r="AF1" s="2162"/>
      <c r="AG1" s="2162"/>
      <c r="AH1" s="2162"/>
      <c r="AI1" s="2162"/>
      <c r="AJ1" s="2164"/>
      <c r="AK1" s="2164"/>
      <c r="AL1" s="2162"/>
      <c r="AM1" s="2164"/>
      <c r="AN1" s="2164"/>
      <c r="AO1" s="2162"/>
      <c r="AP1" s="2164"/>
      <c r="AQ1" s="2164"/>
      <c r="AR1" s="2162"/>
      <c r="AS1" s="2162"/>
      <c r="AT1" s="2162"/>
      <c r="AU1" s="2162"/>
      <c r="AV1" s="2164"/>
      <c r="AW1" s="2164"/>
      <c r="AX1" s="2162"/>
      <c r="AY1" s="2164"/>
      <c r="AZ1" s="2164"/>
      <c r="BA1" s="2162"/>
      <c r="BB1" s="2164"/>
      <c r="BC1" s="2164"/>
      <c r="BD1" s="2162"/>
      <c r="BE1" s="2164"/>
      <c r="BF1" s="2164"/>
      <c r="BG1" s="2162"/>
      <c r="BH1" s="2164"/>
      <c r="BI1" s="2164"/>
      <c r="BJ1" s="2162"/>
      <c r="BK1" s="2164"/>
      <c r="BL1" s="2164"/>
      <c r="BM1" s="2162"/>
      <c r="BN1" s="2164"/>
      <c r="BO1" s="2164"/>
      <c r="BP1" s="2162"/>
      <c r="BQ1" s="2164"/>
      <c r="BR1" s="2164"/>
      <c r="BS1" s="2162"/>
      <c r="BT1" s="2164"/>
      <c r="BU1" s="2164"/>
      <c r="BV1" s="2162"/>
      <c r="BW1" s="2164"/>
      <c r="BX1" s="2164"/>
      <c r="BY1" s="2162"/>
      <c r="BZ1" s="2164"/>
      <c r="CA1" s="2164"/>
      <c r="CB1" s="2162"/>
      <c r="CC1" s="2162"/>
      <c r="CD1" s="2164"/>
      <c r="CE1" s="2164"/>
      <c r="CF1" s="2162"/>
      <c r="CG1" s="2162"/>
      <c r="CH1" s="2164"/>
      <c r="CI1" s="2164"/>
      <c r="CJ1" s="2162"/>
      <c r="CK1" s="2164"/>
      <c r="CL1" s="2164"/>
      <c r="CM1" s="2162"/>
      <c r="CN1" s="2162"/>
      <c r="CO1" s="2164"/>
      <c r="CP1" s="2164"/>
      <c r="CQ1" s="2162"/>
      <c r="CR1" s="2164"/>
      <c r="CS1" s="2164"/>
      <c r="CT1" s="2162"/>
      <c r="CU1" s="2164"/>
      <c r="CV1" s="2164"/>
      <c r="CW1" s="2162"/>
      <c r="CX1" s="2164"/>
      <c r="CY1" s="2164"/>
      <c r="CZ1" s="2162"/>
      <c r="DA1" s="2164"/>
      <c r="DB1" s="2164"/>
      <c r="DC1" s="2162"/>
      <c r="DD1" s="2162"/>
      <c r="DE1" s="2164"/>
      <c r="DF1" s="2164"/>
      <c r="DG1" s="2162"/>
      <c r="DH1" s="2164"/>
      <c r="DI1" s="2164"/>
      <c r="DJ1" s="2162"/>
      <c r="DK1" s="2164"/>
      <c r="DL1" s="2164"/>
      <c r="DM1" s="2162"/>
      <c r="DN1" s="2162"/>
      <c r="DO1" s="2164"/>
      <c r="DP1" s="2164"/>
      <c r="DQ1" s="2164"/>
      <c r="DR1" s="2162"/>
      <c r="DS1" s="2162"/>
      <c r="DT1" s="2162"/>
      <c r="DU1" s="2162"/>
      <c r="DV1" s="2162"/>
      <c r="DW1" s="2162"/>
      <c r="DX1" s="2162"/>
      <c r="DY1" s="2162"/>
      <c r="DZ1" s="2164"/>
      <c r="EA1" s="2164"/>
      <c r="EB1" s="2162"/>
      <c r="EC1" s="2162"/>
      <c r="ED1" s="2162"/>
      <c r="EE1" s="2162"/>
      <c r="EF1" s="2165"/>
      <c r="EG1" s="2166"/>
      <c r="EH1" s="2162"/>
      <c r="EI1" s="2166"/>
      <c r="EJ1" s="2162"/>
    </row>
    <row r="2" spans="1:147">
      <c r="A2" s="2161"/>
      <c r="B2" s="2162"/>
      <c r="C2" s="2162"/>
      <c r="D2" s="2162"/>
      <c r="E2" s="2162"/>
      <c r="F2" s="2162"/>
      <c r="G2" s="2162"/>
      <c r="H2" s="2162"/>
      <c r="I2" s="2162"/>
      <c r="J2" s="2162"/>
      <c r="K2" s="2168"/>
      <c r="L2" s="2162"/>
      <c r="M2" s="2162"/>
      <c r="N2" s="2162"/>
      <c r="O2" s="2162"/>
      <c r="P2" s="2162"/>
      <c r="Q2" s="2162"/>
      <c r="R2" s="2162"/>
      <c r="S2" s="2162"/>
      <c r="T2" s="2162"/>
      <c r="U2" s="2164"/>
      <c r="V2" s="2164"/>
      <c r="W2" s="2162"/>
      <c r="X2" s="2162"/>
      <c r="Y2" s="2162"/>
      <c r="Z2" s="2162"/>
      <c r="AA2" s="2162"/>
      <c r="AB2" s="2162"/>
      <c r="AC2" s="2162"/>
      <c r="AD2" s="2162"/>
      <c r="AE2" s="2162"/>
      <c r="AF2" s="2162"/>
      <c r="AG2" s="2162"/>
      <c r="AH2" s="2162"/>
      <c r="AI2" s="2162"/>
      <c r="AJ2" s="2164"/>
      <c r="AK2" s="2164"/>
      <c r="AL2" s="2162"/>
      <c r="AM2" s="2164"/>
      <c r="AN2" s="2164"/>
      <c r="AO2" s="2162"/>
      <c r="AP2" s="2164"/>
      <c r="AQ2" s="2164"/>
      <c r="AR2" s="2162"/>
      <c r="AS2" s="2162"/>
      <c r="AT2" s="2162"/>
      <c r="AU2" s="2162"/>
      <c r="AV2" s="2164"/>
      <c r="AW2" s="2164"/>
      <c r="AX2" s="2162"/>
      <c r="AY2" s="2164"/>
      <c r="AZ2" s="2164"/>
      <c r="BA2" s="2162"/>
      <c r="BB2" s="2164"/>
      <c r="BC2" s="2164"/>
      <c r="BD2" s="2162"/>
      <c r="BE2" s="2164"/>
      <c r="BF2" s="2164"/>
      <c r="BG2" s="2162"/>
      <c r="BH2" s="2164"/>
      <c r="BI2" s="2164"/>
      <c r="BJ2" s="2162"/>
      <c r="BK2" s="2164"/>
      <c r="BL2" s="2164"/>
      <c r="BM2" s="2162"/>
      <c r="BN2" s="2164"/>
      <c r="BO2" s="2164"/>
      <c r="BP2" s="2162"/>
      <c r="BQ2" s="2164"/>
      <c r="BR2" s="2164"/>
      <c r="BS2" s="2162"/>
      <c r="BT2" s="2164"/>
      <c r="BU2" s="2164"/>
      <c r="BV2" s="2162"/>
      <c r="BW2" s="2164"/>
      <c r="BX2" s="2164"/>
      <c r="BY2" s="2162"/>
      <c r="BZ2" s="2164"/>
      <c r="CA2" s="2164"/>
      <c r="CB2" s="2162"/>
      <c r="CC2" s="2162"/>
      <c r="CD2" s="2164"/>
      <c r="CE2" s="2164"/>
      <c r="CF2" s="2162"/>
      <c r="CG2" s="2162"/>
      <c r="CH2" s="2164"/>
      <c r="CI2" s="2164"/>
      <c r="CJ2" s="2162"/>
      <c r="CK2" s="2164"/>
      <c r="CL2" s="2164"/>
      <c r="CM2" s="2162"/>
      <c r="CN2" s="2162"/>
      <c r="CO2" s="2164"/>
      <c r="CP2" s="2164"/>
      <c r="CQ2" s="2162"/>
      <c r="CR2" s="2164"/>
      <c r="CS2" s="2164"/>
      <c r="CT2" s="2162"/>
      <c r="CU2" s="2164"/>
      <c r="CV2" s="2164"/>
      <c r="CW2" s="2162"/>
      <c r="CX2" s="2164"/>
      <c r="CY2" s="2164"/>
      <c r="CZ2" s="2162"/>
      <c r="DA2" s="2164"/>
      <c r="DB2" s="2164"/>
      <c r="DC2" s="2162"/>
      <c r="DD2" s="2162"/>
      <c r="DE2" s="2164"/>
      <c r="DF2" s="2164"/>
      <c r="DG2" s="2162"/>
      <c r="DH2" s="2164"/>
      <c r="DI2" s="2164"/>
      <c r="DJ2" s="2162"/>
      <c r="DK2" s="2164"/>
      <c r="DL2" s="2164"/>
      <c r="DM2" s="2162"/>
      <c r="DN2" s="2162"/>
      <c r="DO2" s="2164"/>
      <c r="DP2" s="2164"/>
      <c r="DQ2" s="2164"/>
      <c r="DR2" s="2162"/>
      <c r="DS2" s="2162"/>
      <c r="DT2" s="2162"/>
      <c r="DU2" s="2162"/>
      <c r="DV2" s="2162"/>
      <c r="DW2" s="2162"/>
      <c r="DX2" s="2162"/>
      <c r="DY2" s="2162"/>
      <c r="DZ2" s="2164"/>
      <c r="EA2" s="2164"/>
      <c r="EB2" s="2162"/>
      <c r="EC2" s="2162"/>
      <c r="ED2" s="2162"/>
      <c r="EE2" s="2162"/>
      <c r="EF2" s="2165"/>
      <c r="EG2" s="2166"/>
      <c r="EH2" s="2162"/>
      <c r="EI2" s="2166"/>
      <c r="EJ2" s="2162"/>
    </row>
    <row r="3" spans="1:147">
      <c r="A3" s="2163" t="s">
        <v>2348</v>
      </c>
      <c r="B3" s="2162"/>
      <c r="C3" s="2162"/>
      <c r="D3" s="2162"/>
      <c r="E3" s="2162"/>
      <c r="F3" s="2162"/>
      <c r="G3" s="2162"/>
      <c r="H3" s="2162"/>
      <c r="I3" s="2162"/>
      <c r="J3" s="2162"/>
      <c r="K3" s="2163"/>
      <c r="L3" s="2162"/>
      <c r="M3" s="2165"/>
      <c r="N3" s="2165"/>
      <c r="O3" s="2165"/>
      <c r="P3" s="2162"/>
      <c r="Q3" s="2162"/>
      <c r="R3" s="2162"/>
      <c r="S3" s="2162"/>
      <c r="T3" s="2162"/>
      <c r="U3" s="2164"/>
      <c r="V3" s="2164"/>
      <c r="W3" s="2162"/>
      <c r="X3" s="2162"/>
      <c r="Y3" s="2162"/>
      <c r="Z3" s="2162"/>
      <c r="AA3" s="2162"/>
      <c r="AB3" s="2162"/>
      <c r="AC3" s="2162"/>
      <c r="AD3" s="2162"/>
      <c r="AE3" s="2162"/>
      <c r="AF3" s="2162"/>
      <c r="AG3" s="2162"/>
      <c r="AH3" s="2162"/>
      <c r="AI3" s="2162"/>
      <c r="AJ3" s="2164"/>
      <c r="AK3" s="2164"/>
      <c r="AL3" s="2162"/>
      <c r="AM3" s="2164"/>
      <c r="AN3" s="2164"/>
      <c r="AO3" s="2162"/>
      <c r="AP3" s="2164"/>
      <c r="AQ3" s="2164"/>
      <c r="AR3" s="2162"/>
      <c r="AS3" s="2162"/>
      <c r="AT3" s="2162"/>
      <c r="AU3" s="2162"/>
      <c r="AV3" s="2164"/>
      <c r="AW3" s="2164"/>
      <c r="AX3" s="2162"/>
      <c r="AY3" s="2164"/>
      <c r="AZ3" s="2164"/>
      <c r="BA3" s="2162"/>
      <c r="BB3" s="2164"/>
      <c r="BC3" s="2164"/>
      <c r="BD3" s="2162"/>
      <c r="BE3" s="2164"/>
      <c r="BF3" s="2164"/>
      <c r="BG3" s="2162"/>
      <c r="BH3" s="2164"/>
      <c r="BI3" s="2164"/>
      <c r="BJ3" s="2162"/>
      <c r="BK3" s="2164"/>
      <c r="BL3" s="2164"/>
      <c r="BM3" s="2162"/>
      <c r="BN3" s="2164"/>
      <c r="BO3" s="2164"/>
      <c r="BP3" s="2162"/>
      <c r="BQ3" s="2164"/>
      <c r="BR3" s="2164"/>
      <c r="BS3" s="2162"/>
      <c r="BT3" s="2164"/>
      <c r="BU3" s="2164"/>
      <c r="BV3" s="2162"/>
      <c r="BW3" s="2164"/>
      <c r="BX3" s="2164"/>
      <c r="BY3" s="2162"/>
      <c r="BZ3" s="2164"/>
      <c r="CA3" s="2164"/>
      <c r="CB3" s="2162"/>
      <c r="CC3" s="2162"/>
      <c r="CD3" s="2164"/>
      <c r="CE3" s="2164"/>
      <c r="CF3" s="2162"/>
      <c r="CG3" s="2162"/>
      <c r="CH3" s="2164"/>
      <c r="CI3" s="2164"/>
      <c r="CJ3" s="2162"/>
      <c r="CK3" s="2164"/>
      <c r="CL3" s="2164"/>
      <c r="CM3" s="2162"/>
      <c r="CN3" s="2162"/>
      <c r="CO3" s="2164"/>
      <c r="CP3" s="2164"/>
      <c r="CQ3" s="2162"/>
      <c r="CR3" s="2164"/>
      <c r="CS3" s="2164"/>
      <c r="CT3" s="2162"/>
      <c r="CU3" s="2164"/>
      <c r="CV3" s="2164"/>
      <c r="CW3" s="2162"/>
      <c r="CX3" s="2164"/>
      <c r="CY3" s="2164"/>
      <c r="CZ3" s="2162"/>
      <c r="DA3" s="2164"/>
      <c r="DB3" s="2164"/>
      <c r="DC3" s="2162"/>
      <c r="DD3" s="2162"/>
      <c r="DE3" s="2164"/>
      <c r="DF3" s="2164"/>
      <c r="DG3" s="2162"/>
      <c r="DH3" s="2164"/>
      <c r="DI3" s="2164"/>
      <c r="DJ3" s="2162"/>
      <c r="DK3" s="2164"/>
      <c r="DL3" s="2164"/>
      <c r="DM3" s="2162"/>
      <c r="DN3" s="2162"/>
      <c r="DO3" s="2164"/>
      <c r="DP3" s="2164"/>
      <c r="DQ3" s="2164"/>
      <c r="DR3" s="2162"/>
      <c r="DS3" s="2162"/>
      <c r="DT3" s="2162"/>
      <c r="DU3" s="2162"/>
      <c r="DV3" s="2162"/>
      <c r="DW3" s="2162"/>
      <c r="DX3" s="2162"/>
      <c r="DY3" s="2162"/>
      <c r="DZ3" s="2164"/>
      <c r="EA3" s="2164"/>
      <c r="EB3" s="2162"/>
      <c r="EC3" s="2162"/>
      <c r="ED3" s="2162"/>
      <c r="EE3" s="2162"/>
      <c r="EF3" s="2165"/>
      <c r="EG3" s="2166"/>
      <c r="EH3" s="2162"/>
      <c r="EI3" s="2166"/>
      <c r="EJ3" s="2162"/>
    </row>
    <row r="4" spans="1:147">
      <c r="A4" s="2161"/>
      <c r="B4" s="2162"/>
      <c r="C4" s="2162"/>
      <c r="D4" s="2162"/>
      <c r="E4" s="2162"/>
      <c r="F4" s="2162"/>
      <c r="G4" s="2162"/>
      <c r="H4" s="2162"/>
      <c r="I4" s="2162"/>
      <c r="J4" s="2162"/>
      <c r="K4" s="2163"/>
      <c r="L4" s="2162"/>
      <c r="M4" s="2165"/>
      <c r="N4" s="2165"/>
      <c r="O4" s="2165"/>
      <c r="P4" s="2162"/>
      <c r="Q4" s="2162"/>
      <c r="R4" s="2165"/>
      <c r="S4" s="2165"/>
      <c r="T4" s="2165"/>
      <c r="U4" s="2164"/>
      <c r="V4" s="2164"/>
      <c r="W4" s="2165"/>
      <c r="X4" s="2162"/>
      <c r="Y4" s="2162"/>
      <c r="Z4" s="2162"/>
      <c r="AA4" s="2162"/>
      <c r="AB4" s="2162"/>
      <c r="AC4" s="2162"/>
      <c r="AD4" s="2162"/>
      <c r="AE4" s="2162"/>
      <c r="AF4" s="2162"/>
      <c r="AG4" s="2162"/>
      <c r="AH4" s="2162"/>
      <c r="AI4" s="2162"/>
      <c r="AJ4" s="2164"/>
      <c r="AK4" s="2164"/>
      <c r="AL4" s="2162"/>
      <c r="AM4" s="2164"/>
      <c r="AN4" s="2164"/>
      <c r="AO4" s="2162"/>
      <c r="AP4" s="2164"/>
      <c r="AQ4" s="2164"/>
      <c r="AR4" s="2162"/>
      <c r="AS4" s="2162"/>
      <c r="AT4" s="2162"/>
      <c r="AU4" s="2162"/>
      <c r="AV4" s="2164"/>
      <c r="AW4" s="2164"/>
      <c r="AX4" s="2162"/>
      <c r="AY4" s="2164"/>
      <c r="AZ4" s="2164"/>
      <c r="BA4" s="2162"/>
      <c r="BB4" s="2164"/>
      <c r="BC4" s="2164"/>
      <c r="BD4" s="2162"/>
      <c r="BE4" s="2164"/>
      <c r="BF4" s="2164"/>
      <c r="BG4" s="2162"/>
      <c r="BH4" s="2164"/>
      <c r="BI4" s="2164"/>
      <c r="BJ4" s="2162"/>
      <c r="BK4" s="2164"/>
      <c r="BL4" s="2164"/>
      <c r="BM4" s="2162"/>
      <c r="BN4" s="2164"/>
      <c r="BO4" s="2164"/>
      <c r="BP4" s="2162"/>
      <c r="BQ4" s="2164"/>
      <c r="BR4" s="2164"/>
      <c r="BS4" s="2162"/>
      <c r="BT4" s="2164"/>
      <c r="BU4" s="2164"/>
      <c r="BV4" s="2162"/>
      <c r="BW4" s="2164"/>
      <c r="BX4" s="2164"/>
      <c r="BY4" s="2162"/>
      <c r="BZ4" s="2164"/>
      <c r="CA4" s="2164"/>
      <c r="CB4" s="2162"/>
      <c r="CC4" s="2162"/>
      <c r="CD4" s="2164"/>
      <c r="CE4" s="2164"/>
      <c r="CF4" s="2162"/>
      <c r="CG4" s="2162"/>
      <c r="CH4" s="2164"/>
      <c r="CI4" s="2164"/>
      <c r="CJ4" s="2162"/>
      <c r="CK4" s="2164"/>
      <c r="CL4" s="2164"/>
      <c r="CM4" s="2162"/>
      <c r="CN4" s="2162"/>
      <c r="CO4" s="2164"/>
      <c r="CP4" s="2164"/>
      <c r="CQ4" s="2162"/>
      <c r="CR4" s="2164"/>
      <c r="CS4" s="2164"/>
      <c r="CT4" s="2162"/>
      <c r="CU4" s="2164"/>
      <c r="CV4" s="2164"/>
      <c r="CW4" s="2162"/>
      <c r="CX4" s="2164"/>
      <c r="CY4" s="2164"/>
      <c r="CZ4" s="2162"/>
      <c r="DA4" s="2164"/>
      <c r="DB4" s="2164"/>
      <c r="DC4" s="2162"/>
      <c r="DD4" s="2162"/>
      <c r="DE4" s="2164"/>
      <c r="DF4" s="2164"/>
      <c r="DG4" s="2162"/>
      <c r="DH4" s="2164"/>
      <c r="DI4" s="2164"/>
      <c r="DJ4" s="2162"/>
      <c r="DK4" s="2164"/>
      <c r="DL4" s="2164"/>
      <c r="DM4" s="2162"/>
      <c r="DN4" s="2162"/>
      <c r="DO4" s="2164"/>
      <c r="DP4" s="2164"/>
      <c r="DQ4" s="2164"/>
      <c r="DR4" s="2162"/>
      <c r="DS4" s="2162"/>
      <c r="DT4" s="2162"/>
      <c r="DU4" s="2162"/>
      <c r="DV4" s="2162"/>
      <c r="DW4" s="2162"/>
      <c r="DX4" s="2162"/>
      <c r="DY4" s="2162"/>
      <c r="DZ4" s="2164"/>
      <c r="EA4" s="2164"/>
      <c r="EB4" s="2162"/>
      <c r="EC4" s="2162"/>
      <c r="ED4" s="2162"/>
      <c r="EE4" s="2162"/>
      <c r="EF4" s="2165"/>
      <c r="EG4" s="2166"/>
      <c r="EH4" s="2162"/>
      <c r="EI4" s="2166"/>
      <c r="EJ4" s="2162"/>
    </row>
    <row r="5" spans="1:147" ht="15" thickBot="1">
      <c r="A5" s="2169" t="s">
        <v>186</v>
      </c>
      <c r="B5" s="2162"/>
      <c r="C5" s="2162"/>
      <c r="D5" s="2162"/>
      <c r="E5" s="2162"/>
      <c r="F5" s="2162"/>
      <c r="G5" s="2162"/>
      <c r="H5" s="2162"/>
      <c r="I5" s="2162"/>
      <c r="J5" s="2162"/>
      <c r="K5" s="2170"/>
      <c r="L5" s="2171"/>
      <c r="M5" s="2172"/>
      <c r="N5" s="2172"/>
      <c r="O5" s="2172"/>
      <c r="P5" s="2172"/>
      <c r="Q5" s="2172"/>
      <c r="R5" s="2172"/>
      <c r="S5" s="2172"/>
      <c r="T5" s="2172"/>
      <c r="U5" s="2173"/>
      <c r="V5" s="2173"/>
      <c r="W5" s="2172"/>
      <c r="X5" s="2172"/>
      <c r="Y5" s="2172"/>
      <c r="Z5" s="2172"/>
      <c r="AA5" s="2172"/>
      <c r="AB5" s="2172"/>
      <c r="AC5" s="2172"/>
      <c r="AD5" s="2172"/>
      <c r="AE5" s="2172"/>
      <c r="AF5" s="2172"/>
      <c r="AG5" s="2172"/>
      <c r="AH5" s="2172"/>
      <c r="AI5" s="2172"/>
      <c r="AJ5" s="2173"/>
      <c r="AK5" s="2173"/>
      <c r="AL5" s="2172"/>
      <c r="AM5" s="2173"/>
      <c r="AN5" s="2173"/>
      <c r="AO5" s="2172"/>
      <c r="AP5" s="2173"/>
      <c r="AQ5" s="2173"/>
      <c r="AR5" s="2172"/>
      <c r="AS5" s="2172"/>
      <c r="AT5" s="2172"/>
      <c r="AU5" s="2172"/>
      <c r="AV5" s="2173"/>
      <c r="AW5" s="2173"/>
      <c r="AX5" s="2172"/>
      <c r="AY5" s="2173"/>
      <c r="AZ5" s="2173"/>
      <c r="BA5" s="2172"/>
      <c r="BB5" s="2173"/>
      <c r="BC5" s="2173"/>
      <c r="BD5" s="2172"/>
      <c r="BE5" s="2173"/>
      <c r="BF5" s="2173"/>
      <c r="BG5" s="2172"/>
      <c r="BH5" s="2173"/>
      <c r="BI5" s="2173"/>
      <c r="BJ5" s="2172"/>
      <c r="BK5" s="2173"/>
      <c r="BL5" s="2173"/>
      <c r="BM5" s="2172"/>
      <c r="BN5" s="2173"/>
      <c r="BO5" s="2173"/>
      <c r="BP5" s="2172"/>
      <c r="BQ5" s="2173"/>
      <c r="BR5" s="2173"/>
      <c r="BS5" s="2172"/>
      <c r="BT5" s="2173"/>
      <c r="BU5" s="2173"/>
      <c r="BV5" s="2172"/>
      <c r="BW5" s="2173"/>
      <c r="BX5" s="2173"/>
      <c r="BY5" s="2172"/>
      <c r="BZ5" s="2173"/>
      <c r="CA5" s="2173"/>
      <c r="CB5" s="2172"/>
      <c r="CC5" s="2172"/>
      <c r="CD5" s="2173"/>
      <c r="CE5" s="2173"/>
      <c r="CF5" s="2172"/>
      <c r="CG5" s="2172"/>
      <c r="CH5" s="2173"/>
      <c r="CI5" s="2173"/>
      <c r="CJ5" s="2172"/>
      <c r="CK5" s="2173"/>
      <c r="CL5" s="2173"/>
      <c r="CM5" s="2172"/>
      <c r="CN5" s="2172"/>
      <c r="CO5" s="2173"/>
      <c r="CP5" s="2173"/>
      <c r="CQ5" s="2172"/>
      <c r="CR5" s="2173"/>
      <c r="CS5" s="2173"/>
      <c r="CT5" s="2172"/>
      <c r="CU5" s="2173"/>
      <c r="CV5" s="2173"/>
      <c r="CW5" s="2172"/>
      <c r="CX5" s="2173"/>
      <c r="CY5" s="2173"/>
      <c r="CZ5" s="2172"/>
      <c r="DA5" s="2173"/>
      <c r="DB5" s="2173"/>
      <c r="DC5" s="2172"/>
      <c r="DD5" s="2172"/>
      <c r="DE5" s="2173"/>
      <c r="DF5" s="2173"/>
      <c r="DG5" s="2172"/>
      <c r="DH5" s="2173"/>
      <c r="DI5" s="2173"/>
      <c r="DJ5" s="2172"/>
      <c r="DK5" s="2173"/>
      <c r="DL5" s="2173"/>
      <c r="DM5" s="2172"/>
      <c r="DN5" s="2172"/>
      <c r="DO5" s="2173"/>
      <c r="DP5" s="2173"/>
      <c r="DQ5" s="2173"/>
      <c r="DR5" s="2172"/>
      <c r="DS5" s="2172"/>
      <c r="DT5" s="2172"/>
      <c r="DU5" s="2172"/>
      <c r="DV5" s="2172"/>
      <c r="DW5" s="2172"/>
      <c r="DX5" s="2172"/>
      <c r="DY5" s="2172"/>
      <c r="DZ5" s="2173"/>
      <c r="EA5" s="2173"/>
      <c r="EB5" s="2172"/>
      <c r="EC5" s="2172"/>
      <c r="ED5" s="2172"/>
      <c r="EE5" s="2162"/>
      <c r="EF5" s="2165"/>
      <c r="EG5" s="2166"/>
      <c r="EH5" s="2172" t="s">
        <v>705</v>
      </c>
      <c r="EI5" s="2166"/>
      <c r="EJ5" s="2172" t="s">
        <v>705</v>
      </c>
    </row>
    <row r="6" spans="1:147" ht="44.25" thickBot="1">
      <c r="A6" s="2174" t="s">
        <v>10</v>
      </c>
      <c r="B6" s="2174" t="s">
        <v>0</v>
      </c>
      <c r="C6" s="2175" t="s">
        <v>2107</v>
      </c>
      <c r="D6" s="2175" t="s">
        <v>2346</v>
      </c>
      <c r="E6" s="2175" t="s">
        <v>1934</v>
      </c>
      <c r="F6" s="2175" t="s">
        <v>2644</v>
      </c>
      <c r="G6" s="2175" t="s">
        <v>2766</v>
      </c>
      <c r="H6" s="2175" t="s">
        <v>2107</v>
      </c>
      <c r="I6" s="2175" t="s">
        <v>2830</v>
      </c>
      <c r="J6" s="2175" t="s">
        <v>2855</v>
      </c>
      <c r="K6" s="2175" t="s">
        <v>2923</v>
      </c>
      <c r="L6" s="2176" t="s">
        <v>129</v>
      </c>
      <c r="M6" s="2176" t="s">
        <v>130</v>
      </c>
      <c r="N6" s="2176" t="s">
        <v>761</v>
      </c>
      <c r="O6" s="2177" t="s">
        <v>2562</v>
      </c>
      <c r="P6" s="2176" t="s">
        <v>131</v>
      </c>
      <c r="Q6" s="2177" t="s">
        <v>1936</v>
      </c>
      <c r="R6" s="2176" t="s">
        <v>746</v>
      </c>
      <c r="S6" s="2176" t="s">
        <v>866</v>
      </c>
      <c r="T6" s="2176" t="s">
        <v>357</v>
      </c>
      <c r="U6" s="2178" t="s">
        <v>873</v>
      </c>
      <c r="V6" s="2179" t="s">
        <v>248</v>
      </c>
      <c r="W6" s="2176" t="s">
        <v>2981</v>
      </c>
      <c r="X6" s="2180" t="s">
        <v>248</v>
      </c>
      <c r="Y6" s="2181" t="s">
        <v>132</v>
      </c>
      <c r="Z6" s="2182" t="s">
        <v>2273</v>
      </c>
      <c r="AA6" s="2176" t="s">
        <v>133</v>
      </c>
      <c r="AB6" s="2176" t="s">
        <v>134</v>
      </c>
      <c r="AC6" s="2176" t="s">
        <v>135</v>
      </c>
      <c r="AD6" s="2176" t="s">
        <v>1240</v>
      </c>
      <c r="AE6" s="2176" t="s">
        <v>2950</v>
      </c>
      <c r="AF6" s="2176" t="s">
        <v>191</v>
      </c>
      <c r="AG6" s="2176" t="s">
        <v>136</v>
      </c>
      <c r="AH6" s="2176" t="s">
        <v>137</v>
      </c>
      <c r="AI6" s="2176" t="s">
        <v>138</v>
      </c>
      <c r="AJ6" s="2178" t="s">
        <v>871</v>
      </c>
      <c r="AK6" s="2183" t="s">
        <v>248</v>
      </c>
      <c r="AL6" s="2176" t="s">
        <v>139</v>
      </c>
      <c r="AM6" s="2178" t="s">
        <v>502</v>
      </c>
      <c r="AN6" s="2183" t="s">
        <v>248</v>
      </c>
      <c r="AO6" s="2176" t="s">
        <v>140</v>
      </c>
      <c r="AP6" s="2178" t="s">
        <v>871</v>
      </c>
      <c r="AQ6" s="2183" t="s">
        <v>248</v>
      </c>
      <c r="AR6" s="2176" t="s">
        <v>141</v>
      </c>
      <c r="AS6" s="2176" t="s">
        <v>142</v>
      </c>
      <c r="AT6" s="2176" t="s">
        <v>143</v>
      </c>
      <c r="AU6" s="2176" t="s">
        <v>144</v>
      </c>
      <c r="AV6" s="2178" t="s">
        <v>502</v>
      </c>
      <c r="AW6" s="2183" t="s">
        <v>248</v>
      </c>
      <c r="AX6" s="2176" t="s">
        <v>294</v>
      </c>
      <c r="AY6" s="2178" t="s">
        <v>871</v>
      </c>
      <c r="AZ6" s="2183" t="s">
        <v>248</v>
      </c>
      <c r="BA6" s="2176" t="s">
        <v>1171</v>
      </c>
      <c r="BB6" s="2178" t="s">
        <v>871</v>
      </c>
      <c r="BC6" s="2183" t="s">
        <v>248</v>
      </c>
      <c r="BD6" s="2176" t="s">
        <v>1172</v>
      </c>
      <c r="BE6" s="2178" t="s">
        <v>871</v>
      </c>
      <c r="BF6" s="2183" t="s">
        <v>248</v>
      </c>
      <c r="BG6" s="2176" t="s">
        <v>145</v>
      </c>
      <c r="BH6" s="2178" t="s">
        <v>871</v>
      </c>
      <c r="BI6" s="2183" t="s">
        <v>248</v>
      </c>
      <c r="BJ6" s="2176" t="s">
        <v>1528</v>
      </c>
      <c r="BK6" s="2178" t="s">
        <v>1555</v>
      </c>
      <c r="BL6" s="2183" t="s">
        <v>248</v>
      </c>
      <c r="BM6" s="2176" t="s">
        <v>146</v>
      </c>
      <c r="BN6" s="2178" t="s">
        <v>871</v>
      </c>
      <c r="BO6" s="2183" t="s">
        <v>248</v>
      </c>
      <c r="BP6" s="2176" t="s">
        <v>147</v>
      </c>
      <c r="BQ6" s="2178" t="s">
        <v>871</v>
      </c>
      <c r="BR6" s="2183" t="s">
        <v>248</v>
      </c>
      <c r="BS6" s="2176" t="s">
        <v>713</v>
      </c>
      <c r="BT6" s="2178" t="s">
        <v>871</v>
      </c>
      <c r="BU6" s="2183" t="s">
        <v>248</v>
      </c>
      <c r="BV6" s="2176" t="s">
        <v>148</v>
      </c>
      <c r="BW6" s="2178" t="s">
        <v>871</v>
      </c>
      <c r="BX6" s="2183" t="s">
        <v>248</v>
      </c>
      <c r="BY6" s="2176" t="s">
        <v>149</v>
      </c>
      <c r="BZ6" s="2178" t="s">
        <v>871</v>
      </c>
      <c r="CA6" s="2183" t="s">
        <v>248</v>
      </c>
      <c r="CB6" s="2176" t="s">
        <v>150</v>
      </c>
      <c r="CC6" s="2176" t="s">
        <v>341</v>
      </c>
      <c r="CD6" s="2178" t="s">
        <v>871</v>
      </c>
      <c r="CE6" s="2183" t="s">
        <v>248</v>
      </c>
      <c r="CF6" s="2176" t="s">
        <v>151</v>
      </c>
      <c r="CG6" s="2176" t="s">
        <v>152</v>
      </c>
      <c r="CH6" s="2178" t="s">
        <v>502</v>
      </c>
      <c r="CI6" s="2183" t="s">
        <v>248</v>
      </c>
      <c r="CJ6" s="2176" t="s">
        <v>153</v>
      </c>
      <c r="CK6" s="2178" t="s">
        <v>871</v>
      </c>
      <c r="CL6" s="2183" t="s">
        <v>248</v>
      </c>
      <c r="CM6" s="2176" t="s">
        <v>747</v>
      </c>
      <c r="CN6" s="2176" t="s">
        <v>748</v>
      </c>
      <c r="CO6" s="2178" t="s">
        <v>871</v>
      </c>
      <c r="CP6" s="2183" t="s">
        <v>248</v>
      </c>
      <c r="CQ6" s="2176" t="s">
        <v>749</v>
      </c>
      <c r="CR6" s="2178" t="s">
        <v>871</v>
      </c>
      <c r="CS6" s="2183" t="s">
        <v>248</v>
      </c>
      <c r="CT6" s="2176" t="s">
        <v>750</v>
      </c>
      <c r="CU6" s="2178" t="s">
        <v>502</v>
      </c>
      <c r="CV6" s="2183" t="s">
        <v>248</v>
      </c>
      <c r="CW6" s="2176" t="s">
        <v>751</v>
      </c>
      <c r="CX6" s="2178" t="s">
        <v>502</v>
      </c>
      <c r="CY6" s="2183" t="s">
        <v>248</v>
      </c>
      <c r="CZ6" s="2176" t="s">
        <v>752</v>
      </c>
      <c r="DA6" s="2178" t="s">
        <v>871</v>
      </c>
      <c r="DB6" s="2183" t="s">
        <v>248</v>
      </c>
      <c r="DC6" s="2176" t="s">
        <v>753</v>
      </c>
      <c r="DD6" s="2176" t="s">
        <v>754</v>
      </c>
      <c r="DE6" s="2178" t="s">
        <v>507</v>
      </c>
      <c r="DF6" s="2183" t="s">
        <v>248</v>
      </c>
      <c r="DG6" s="2176" t="s">
        <v>1180</v>
      </c>
      <c r="DH6" s="2178" t="s">
        <v>872</v>
      </c>
      <c r="DI6" s="2183" t="s">
        <v>248</v>
      </c>
      <c r="DJ6" s="2176" t="s">
        <v>755</v>
      </c>
      <c r="DK6" s="2178" t="s">
        <v>507</v>
      </c>
      <c r="DL6" s="2183" t="s">
        <v>248</v>
      </c>
      <c r="DM6" s="2176" t="s">
        <v>756</v>
      </c>
      <c r="DN6" s="2176" t="s">
        <v>757</v>
      </c>
      <c r="DO6" s="2178" t="s">
        <v>507</v>
      </c>
      <c r="DP6" s="2184" t="s">
        <v>502</v>
      </c>
      <c r="DQ6" s="2183" t="s">
        <v>248</v>
      </c>
      <c r="DR6" s="2176" t="s">
        <v>297</v>
      </c>
      <c r="DS6" s="2176" t="s">
        <v>718</v>
      </c>
      <c r="DT6" s="2176" t="s">
        <v>719</v>
      </c>
      <c r="DU6" s="2176" t="s">
        <v>852</v>
      </c>
      <c r="DV6" s="2176" t="s">
        <v>262</v>
      </c>
      <c r="DW6" s="2176" t="s">
        <v>1101</v>
      </c>
      <c r="DX6" s="2176" t="s">
        <v>648</v>
      </c>
      <c r="DY6" s="2176" t="s">
        <v>160</v>
      </c>
      <c r="DZ6" s="2178" t="s">
        <v>507</v>
      </c>
      <c r="EA6" s="2183" t="s">
        <v>248</v>
      </c>
      <c r="EB6" s="2176" t="s">
        <v>161</v>
      </c>
      <c r="EC6" s="2176" t="s">
        <v>162</v>
      </c>
      <c r="ED6" s="2176" t="s">
        <v>163</v>
      </c>
      <c r="EE6" s="2162"/>
      <c r="EF6" s="2165"/>
      <c r="EG6" s="2166"/>
      <c r="EH6" s="2176" t="s">
        <v>2290</v>
      </c>
      <c r="EI6" s="2166"/>
      <c r="EJ6" s="2176" t="s">
        <v>248</v>
      </c>
    </row>
    <row r="7" spans="1:147" ht="13.5" customHeight="1" thickBot="1">
      <c r="A7" s="2185"/>
      <c r="B7" s="2186"/>
      <c r="C7" s="2187"/>
      <c r="D7" s="2187"/>
      <c r="E7" s="2187"/>
      <c r="F7" s="2187"/>
      <c r="G7" s="2187"/>
      <c r="H7" s="2187"/>
      <c r="I7" s="2187"/>
      <c r="J7" s="2187"/>
      <c r="K7" s="2188"/>
      <c r="L7" s="2189" t="s">
        <v>164</v>
      </c>
      <c r="M7" s="2190"/>
      <c r="N7" s="2190">
        <v>5213</v>
      </c>
      <c r="O7" s="2190">
        <v>6221</v>
      </c>
      <c r="P7" s="2190">
        <v>6409</v>
      </c>
      <c r="Q7" s="2190" t="s">
        <v>1935</v>
      </c>
      <c r="R7" s="2190">
        <v>6112</v>
      </c>
      <c r="S7" s="2190">
        <v>6114</v>
      </c>
      <c r="T7" s="2190">
        <v>6171</v>
      </c>
      <c r="U7" s="2191"/>
      <c r="V7" s="2192"/>
      <c r="W7" s="2190" t="s">
        <v>939</v>
      </c>
      <c r="X7" s="2193">
        <v>3639</v>
      </c>
      <c r="Y7" s="2190" t="s">
        <v>165</v>
      </c>
      <c r="Z7" s="2191" t="s">
        <v>2274</v>
      </c>
      <c r="AA7" s="2191" t="s">
        <v>166</v>
      </c>
      <c r="AB7" s="2191" t="s">
        <v>197</v>
      </c>
      <c r="AC7" s="2191">
        <v>3319</v>
      </c>
      <c r="AD7" s="2190" t="s">
        <v>1241</v>
      </c>
      <c r="AE7" s="2190">
        <v>3313</v>
      </c>
      <c r="AF7" s="2190">
        <v>3314</v>
      </c>
      <c r="AG7" s="2190">
        <v>3349</v>
      </c>
      <c r="AH7" s="2194" t="s">
        <v>167</v>
      </c>
      <c r="AI7" s="2190">
        <v>3612</v>
      </c>
      <c r="AJ7" s="2194"/>
      <c r="AK7" s="2190"/>
      <c r="AL7" s="2190" t="s">
        <v>168</v>
      </c>
      <c r="AM7" s="2190"/>
      <c r="AN7" s="2190"/>
      <c r="AO7" s="2190" t="s">
        <v>169</v>
      </c>
      <c r="AP7" s="2190"/>
      <c r="AQ7" s="2190"/>
      <c r="AR7" s="2190">
        <v>5512</v>
      </c>
      <c r="AS7" s="2190">
        <v>3519</v>
      </c>
      <c r="AT7" s="2190" t="s">
        <v>170</v>
      </c>
      <c r="AU7" s="2190">
        <v>3632</v>
      </c>
      <c r="AV7" s="2190"/>
      <c r="AW7" s="2190"/>
      <c r="AX7" s="2190" t="s">
        <v>171</v>
      </c>
      <c r="AY7" s="2190"/>
      <c r="AZ7" s="2190"/>
      <c r="BA7" s="2190" t="s">
        <v>171</v>
      </c>
      <c r="BB7" s="2190"/>
      <c r="BC7" s="2190"/>
      <c r="BD7" s="2190" t="s">
        <v>171</v>
      </c>
      <c r="BE7" s="2190"/>
      <c r="BF7" s="2190"/>
      <c r="BG7" s="2190">
        <v>3113</v>
      </c>
      <c r="BH7" s="2190"/>
      <c r="BI7" s="2190"/>
      <c r="BJ7" s="2190" t="s">
        <v>1529</v>
      </c>
      <c r="BK7" s="2190"/>
      <c r="BL7" s="2190"/>
      <c r="BM7" s="2190">
        <v>3114</v>
      </c>
      <c r="BN7" s="2190"/>
      <c r="BO7" s="2190"/>
      <c r="BP7" s="2190">
        <v>3421</v>
      </c>
      <c r="BQ7" s="2190"/>
      <c r="BR7" s="2190"/>
      <c r="BS7" s="2194" t="s">
        <v>172</v>
      </c>
      <c r="BT7" s="2194"/>
      <c r="BU7" s="2194"/>
      <c r="BV7" s="2194" t="s">
        <v>173</v>
      </c>
      <c r="BW7" s="2194"/>
      <c r="BX7" s="2194"/>
      <c r="BY7" s="2194" t="s">
        <v>174</v>
      </c>
      <c r="BZ7" s="2194"/>
      <c r="CA7" s="2194"/>
      <c r="CB7" s="2190" t="s">
        <v>175</v>
      </c>
      <c r="CC7" s="2194" t="s">
        <v>479</v>
      </c>
      <c r="CD7" s="2194"/>
      <c r="CE7" s="2194"/>
      <c r="CF7" s="2190">
        <v>3635</v>
      </c>
      <c r="CG7" s="2194">
        <v>3631</v>
      </c>
      <c r="CH7" s="2194"/>
      <c r="CI7" s="2194"/>
      <c r="CJ7" s="2190" t="s">
        <v>176</v>
      </c>
      <c r="CK7" s="2190"/>
      <c r="CL7" s="2190"/>
      <c r="CM7" s="2190" t="s">
        <v>177</v>
      </c>
      <c r="CN7" s="2194">
        <v>2310</v>
      </c>
      <c r="CO7" s="2194"/>
      <c r="CP7" s="2194"/>
      <c r="CQ7" s="2194" t="s">
        <v>178</v>
      </c>
      <c r="CR7" s="2194"/>
      <c r="CS7" s="2194"/>
      <c r="CT7" s="2190" t="s">
        <v>179</v>
      </c>
      <c r="CU7" s="2190"/>
      <c r="CV7" s="2190"/>
      <c r="CW7" s="2190" t="s">
        <v>219</v>
      </c>
      <c r="CX7" s="2190"/>
      <c r="CY7" s="2190"/>
      <c r="CZ7" s="2190">
        <v>3633</v>
      </c>
      <c r="DA7" s="2190"/>
      <c r="DB7" s="2190"/>
      <c r="DC7" s="2190">
        <v>1036</v>
      </c>
      <c r="DD7" s="2190">
        <v>3722</v>
      </c>
      <c r="DE7" s="2190"/>
      <c r="DF7" s="2190"/>
      <c r="DG7" s="2190" t="s">
        <v>181</v>
      </c>
      <c r="DH7" s="2190"/>
      <c r="DI7" s="2190"/>
      <c r="DJ7" s="2190">
        <v>3729</v>
      </c>
      <c r="DK7" s="2190"/>
      <c r="DL7" s="2190"/>
      <c r="DM7" s="2190">
        <v>3744</v>
      </c>
      <c r="DN7" s="2190">
        <v>3749</v>
      </c>
      <c r="DO7" s="2190"/>
      <c r="DP7" s="2190"/>
      <c r="DQ7" s="2190"/>
      <c r="DR7" s="2190" t="s">
        <v>296</v>
      </c>
      <c r="DS7" s="2190" t="s">
        <v>716</v>
      </c>
      <c r="DT7" s="2190" t="s">
        <v>717</v>
      </c>
      <c r="DU7" s="2190" t="s">
        <v>1140</v>
      </c>
      <c r="DV7" s="2190" t="s">
        <v>263</v>
      </c>
      <c r="DW7" s="2190" t="s">
        <v>1102</v>
      </c>
      <c r="DX7" s="2190" t="s">
        <v>649</v>
      </c>
      <c r="DY7" s="2190" t="s">
        <v>182</v>
      </c>
      <c r="DZ7" s="2190"/>
      <c r="EA7" s="2190"/>
      <c r="EB7" s="2190" t="s">
        <v>183</v>
      </c>
      <c r="EC7" s="2190" t="s">
        <v>184</v>
      </c>
      <c r="ED7" s="2195" t="s">
        <v>185</v>
      </c>
      <c r="EE7" s="2162"/>
      <c r="EF7" s="2165"/>
      <c r="EG7" s="2166"/>
      <c r="EH7" s="2196" t="s">
        <v>185</v>
      </c>
      <c r="EI7" s="2166"/>
      <c r="EJ7" s="2196" t="s">
        <v>185</v>
      </c>
    </row>
    <row r="8" spans="1:147" ht="17.25" customHeight="1" outlineLevel="1">
      <c r="A8" s="2197">
        <v>5011</v>
      </c>
      <c r="B8" s="2198" t="s">
        <v>64</v>
      </c>
      <c r="C8" s="2199">
        <v>27925000</v>
      </c>
      <c r="D8" s="2199">
        <v>31800000</v>
      </c>
      <c r="E8" s="2199">
        <v>31800000</v>
      </c>
      <c r="F8" s="2199">
        <v>31800000</v>
      </c>
      <c r="G8" s="2199">
        <v>31800000</v>
      </c>
      <c r="H8" s="2199">
        <v>31800000</v>
      </c>
      <c r="I8" s="2199">
        <v>31800000</v>
      </c>
      <c r="J8" s="2199">
        <v>31800000</v>
      </c>
      <c r="K8" s="2199">
        <f>SUM(L8:T8)+SUM(X8:AI8)+AL8+AO8+SUM(AR8:AU8)+AX8+BG8+BM8+BP8+BS8+BV8+BY8+CB8+CC8+CF8+CG8+CJ8+SUM(CM8:CN8)+CW8+CZ8+DC8+DD8+DG8+DJ8+DM8+DN8+SUM(DR8:ED8)+CQ8+CT8+W8</f>
        <v>30900000</v>
      </c>
      <c r="L8" s="2200"/>
      <c r="M8" s="2201"/>
      <c r="N8" s="2201"/>
      <c r="O8" s="2201"/>
      <c r="P8" s="2201"/>
      <c r="Q8" s="2201"/>
      <c r="R8" s="2201">
        <f>+'[1] návrh 2025'!$B$19</f>
        <v>0</v>
      </c>
      <c r="S8" s="2201">
        <f>+'[1] návrh 2025'!$B$18</f>
        <v>0</v>
      </c>
      <c r="T8" s="2201">
        <f>+U8+V8</f>
        <v>21650000</v>
      </c>
      <c r="U8" s="2202">
        <f>+'[1] návrh 2025'!$B$3+'[1] návrh 2025'!$B$13+'[1] návrh 2025'!$B$14+'[1] návrh 2025'!$B$16+'[1] návrh 2025'!$B$17</f>
        <v>21650000</v>
      </c>
      <c r="V8" s="2203"/>
      <c r="W8" s="2201">
        <f>+'[1] návrh 2025'!$B$15</f>
        <v>0</v>
      </c>
      <c r="X8" s="2204">
        <f>+'[1] návrh 2025'!$B$10</f>
        <v>0</v>
      </c>
      <c r="Y8" s="2201">
        <f>+'[1] návrh 2025'!$B$6</f>
        <v>1950000</v>
      </c>
      <c r="Z8" s="2201"/>
      <c r="AA8" s="2201"/>
      <c r="AB8" s="2201">
        <f>+'[1] návrh 2025'!$B$4</f>
        <v>5700000</v>
      </c>
      <c r="AC8" s="2201">
        <f>+'[1] návrh 2025'!$B$7</f>
        <v>0</v>
      </c>
      <c r="AD8" s="2201"/>
      <c r="AE8" s="2201"/>
      <c r="AF8" s="2201">
        <f>+'[1] návrh 2025'!$B$8</f>
        <v>1600000</v>
      </c>
      <c r="AG8" s="2201">
        <f>+'[1] návrh 2025'!$B$9</f>
        <v>0</v>
      </c>
      <c r="AH8" s="2201"/>
      <c r="AI8" s="2201"/>
      <c r="AJ8" s="2202"/>
      <c r="AK8" s="2202"/>
      <c r="AL8" s="2201">
        <f>+'[1] návrh 2025'!$B$11</f>
        <v>0</v>
      </c>
      <c r="AM8" s="2202"/>
      <c r="AN8" s="2202"/>
      <c r="AO8" s="2201"/>
      <c r="AP8" s="2202"/>
      <c r="AQ8" s="2202"/>
      <c r="AR8" s="2201">
        <f>+'[1] návrh 2025'!$B$5</f>
        <v>0</v>
      </c>
      <c r="AS8" s="2201"/>
      <c r="AT8" s="2201"/>
      <c r="AU8" s="2201"/>
      <c r="AV8" s="2202"/>
      <c r="AW8" s="2202"/>
      <c r="AX8" s="2201"/>
      <c r="AY8" s="2202"/>
      <c r="AZ8" s="2202"/>
      <c r="BA8" s="2201"/>
      <c r="BB8" s="2202"/>
      <c r="BC8" s="2202"/>
      <c r="BD8" s="2201"/>
      <c r="BE8" s="2202"/>
      <c r="BF8" s="2202"/>
      <c r="BG8" s="2201"/>
      <c r="BH8" s="2202"/>
      <c r="BI8" s="2202"/>
      <c r="BJ8" s="2201">
        <v>0</v>
      </c>
      <c r="BK8" s="2202"/>
      <c r="BL8" s="2202"/>
      <c r="BM8" s="2201">
        <f>+'[1] návrh 2025'!$B$12</f>
        <v>0</v>
      </c>
      <c r="BN8" s="2202"/>
      <c r="BO8" s="2202"/>
      <c r="BP8" s="2201"/>
      <c r="BQ8" s="2202"/>
      <c r="BR8" s="2202"/>
      <c r="BS8" s="2201"/>
      <c r="BT8" s="2202"/>
      <c r="BU8" s="2202"/>
      <c r="BV8" s="2201"/>
      <c r="BW8" s="2202"/>
      <c r="BX8" s="2202"/>
      <c r="BY8" s="2201"/>
      <c r="BZ8" s="2202"/>
      <c r="CA8" s="2202"/>
      <c r="CB8" s="2201"/>
      <c r="CC8" s="2201"/>
      <c r="CD8" s="2202"/>
      <c r="CE8" s="2202"/>
      <c r="CF8" s="2201"/>
      <c r="CG8" s="2201"/>
      <c r="CH8" s="2202"/>
      <c r="CI8" s="2202"/>
      <c r="CJ8" s="2201"/>
      <c r="CK8" s="2202"/>
      <c r="CL8" s="2202"/>
      <c r="CM8" s="2201"/>
      <c r="CN8" s="2201"/>
      <c r="CO8" s="2202"/>
      <c r="CP8" s="2202"/>
      <c r="CQ8" s="2201"/>
      <c r="CR8" s="2202"/>
      <c r="CS8" s="2202"/>
      <c r="CT8" s="2201"/>
      <c r="CU8" s="2202"/>
      <c r="CV8" s="2202"/>
      <c r="CW8" s="2201"/>
      <c r="CX8" s="2202"/>
      <c r="CY8" s="2202"/>
      <c r="CZ8" s="2201"/>
      <c r="DA8" s="2202"/>
      <c r="DB8" s="2202"/>
      <c r="DC8" s="2201"/>
      <c r="DD8" s="2201"/>
      <c r="DE8" s="2202"/>
      <c r="DF8" s="2202"/>
      <c r="DG8" s="2201"/>
      <c r="DH8" s="2202"/>
      <c r="DI8" s="2202"/>
      <c r="DJ8" s="2201"/>
      <c r="DK8" s="2202"/>
      <c r="DL8" s="2202"/>
      <c r="DM8" s="2201"/>
      <c r="DN8" s="2201"/>
      <c r="DO8" s="2202"/>
      <c r="DP8" s="2202"/>
      <c r="DQ8" s="2202"/>
      <c r="DR8" s="2201"/>
      <c r="DS8" s="2201"/>
      <c r="DT8" s="2201"/>
      <c r="DU8" s="2201"/>
      <c r="DV8" s="2201"/>
      <c r="DW8" s="2201"/>
      <c r="DX8" s="2201"/>
      <c r="DY8" s="2201"/>
      <c r="DZ8" s="2202"/>
      <c r="EA8" s="2202"/>
      <c r="EB8" s="2201"/>
      <c r="EC8" s="2201"/>
      <c r="ED8" s="2205"/>
      <c r="EE8" s="2206">
        <f t="shared" ref="EE8" si="0">+L8+M8+N8+P8+R8+S8+T8+W8+X8+Y8+AA8+AB8+AC8+AF8+AG8+AH8+AI8+AL8+AO8+AR8+AS8+AT8+AU8+AX8+BG8+BM8+BP8+BS8+BV8+BY8+CB8+CC8+CF8+CG8+CJ8+CM8+CN8+CQ8+CT8+CW8+CZ8+DC8+DD8+DG8+DJ8+DM8+DN8+DR8+DS8+DT8+DU8+DV8+DX8+DY8+EB8+EC8+ED8+BJ8+BD8+BA8+AD8</f>
        <v>30900000</v>
      </c>
      <c r="EF8" s="2165">
        <f t="shared" ref="EF8" si="1">EE8-K8</f>
        <v>0</v>
      </c>
      <c r="EG8" s="2166"/>
      <c r="EH8" s="2207">
        <f>+K8-EJ8</f>
        <v>30900000</v>
      </c>
      <c r="EI8" s="2166">
        <f>+EJ8-X8</f>
        <v>0</v>
      </c>
      <c r="EJ8" s="2207">
        <f>+V8+AK8+AN8++AQ8+AW8+AZ8+BI8+BO8+BR8+BU8+BX8+CA8+CE8+CI8+CL8+CP8+DB8+DF8+DI8+DL8+DQ8</f>
        <v>0</v>
      </c>
      <c r="EL8" s="2208"/>
      <c r="EP8" s="2208"/>
      <c r="EQ8" s="2208"/>
    </row>
    <row r="9" spans="1:147" ht="17.25" customHeight="1" outlineLevel="1">
      <c r="A9" s="2197">
        <v>5021</v>
      </c>
      <c r="B9" s="2198" t="s">
        <v>65</v>
      </c>
      <c r="C9" s="2209">
        <v>1865000</v>
      </c>
      <c r="D9" s="2209">
        <v>2604500</v>
      </c>
      <c r="E9" s="2209">
        <v>2604500</v>
      </c>
      <c r="F9" s="2209">
        <v>2604500</v>
      </c>
      <c r="G9" s="2209">
        <v>2604500</v>
      </c>
      <c r="H9" s="2209">
        <v>2076500</v>
      </c>
      <c r="I9" s="2209">
        <v>2076500</v>
      </c>
      <c r="J9" s="2209">
        <v>2076500</v>
      </c>
      <c r="K9" s="2209">
        <f t="shared" ref="K9:K15" si="2">SUM(L9:T9)+SUM(X9:AI9)+AL9+AO9+SUM(AR9:AU9)+AX9+BG9+BM9+BP9+BS9+BV9+BY9+CB9+CC9+CF9+CG9+CJ9+SUM(CM9:CN9)+CW9+CZ9+DC9+DD9+DG9+DJ9+DM9+DN9+SUM(DR9:ED9)+CQ9+CT9+W9</f>
        <v>2236478</v>
      </c>
      <c r="L9" s="2210"/>
      <c r="M9" s="2211"/>
      <c r="N9" s="2211"/>
      <c r="O9" s="2211"/>
      <c r="P9" s="2211"/>
      <c r="Q9" s="2211"/>
      <c r="R9" s="2211">
        <f>+'[1] návrh 2025'!$C$19+'[1] návrh 2025'!$D$19</f>
        <v>0</v>
      </c>
      <c r="S9" s="2211">
        <f>+'[1] návrh 2025'!$C$18+'[1] návrh 2025'!$D$18</f>
        <v>144478</v>
      </c>
      <c r="T9" s="2211">
        <f t="shared" ref="T9:T15" si="3">+U9+V9</f>
        <v>1532500</v>
      </c>
      <c r="U9" s="2212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V9" s="2213"/>
      <c r="W9" s="2211">
        <f>+'[1] návrh 2025'!$C$15+'[1] návrh 2025'!$D$15</f>
        <v>0</v>
      </c>
      <c r="X9" s="2214">
        <f>+'[1] návrh 2025'!$C$10+'[1] návrh 2025'!$D$10</f>
        <v>50000</v>
      </c>
      <c r="Y9" s="2211">
        <f>+'[1] návrh 2025'!$C$6+'[1] návrh 2025'!$D$6</f>
        <v>0</v>
      </c>
      <c r="Z9" s="2211"/>
      <c r="AA9" s="2211"/>
      <c r="AB9" s="2211">
        <f>+'[1] návrh 2025'!$C$4+'[1] návrh 2025'!$D$4</f>
        <v>72000</v>
      </c>
      <c r="AC9" s="2211">
        <f>+'[1] návrh 2025'!$C$7+'[1] návrh 2025'!$D$7</f>
        <v>12500</v>
      </c>
      <c r="AD9" s="2211"/>
      <c r="AE9" s="2211"/>
      <c r="AF9" s="2211">
        <f>+'[1] návrh 2025'!$C$8+'[1] návrh 2025'!$D$8</f>
        <v>50000</v>
      </c>
      <c r="AG9" s="2211">
        <f>+'[1] návrh 2025'!$C$9+'[1] návrh 2025'!$D$9</f>
        <v>255000</v>
      </c>
      <c r="AH9" s="2211"/>
      <c r="AI9" s="2211"/>
      <c r="AJ9" s="2212"/>
      <c r="AK9" s="2212"/>
      <c r="AL9" s="2211">
        <f>+'[1] návrh 2025'!$C$11+'[1] návrh 2025'!$D$11</f>
        <v>0</v>
      </c>
      <c r="AM9" s="2212"/>
      <c r="AN9" s="2212"/>
      <c r="AO9" s="2211"/>
      <c r="AP9" s="2212"/>
      <c r="AQ9" s="2212"/>
      <c r="AR9" s="2211">
        <f>+'[1] návrh 2025'!$C$5+'[1] návrh 2025'!$D$5</f>
        <v>120000</v>
      </c>
      <c r="AS9" s="2211"/>
      <c r="AT9" s="2211"/>
      <c r="AU9" s="2211"/>
      <c r="AV9" s="2212"/>
      <c r="AW9" s="2212"/>
      <c r="AX9" s="2211"/>
      <c r="AY9" s="2212"/>
      <c r="AZ9" s="2212"/>
      <c r="BA9" s="2211"/>
      <c r="BB9" s="2212"/>
      <c r="BC9" s="2212"/>
      <c r="BD9" s="2211"/>
      <c r="BE9" s="2212"/>
      <c r="BF9" s="2212"/>
      <c r="BG9" s="2211"/>
      <c r="BH9" s="2212"/>
      <c r="BI9" s="2212"/>
      <c r="BJ9" s="2211">
        <v>0</v>
      </c>
      <c r="BK9" s="2212"/>
      <c r="BL9" s="2212"/>
      <c r="BM9" s="2211">
        <f>+'[1] návrh 2025'!$C$12+'[1] návrh 2025'!$D$12</f>
        <v>0</v>
      </c>
      <c r="BN9" s="2212"/>
      <c r="BO9" s="2212"/>
      <c r="BP9" s="2211"/>
      <c r="BQ9" s="2212"/>
      <c r="BR9" s="2212"/>
      <c r="BS9" s="2211"/>
      <c r="BT9" s="2212"/>
      <c r="BU9" s="2212"/>
      <c r="BV9" s="2211"/>
      <c r="BW9" s="2212"/>
      <c r="BX9" s="2212"/>
      <c r="BY9" s="2211"/>
      <c r="BZ9" s="2212"/>
      <c r="CA9" s="2212"/>
      <c r="CB9" s="2211"/>
      <c r="CC9" s="2211"/>
      <c r="CD9" s="2212"/>
      <c r="CE9" s="2212"/>
      <c r="CF9" s="2211"/>
      <c r="CG9" s="2211"/>
      <c r="CH9" s="2212"/>
      <c r="CI9" s="2212"/>
      <c r="CJ9" s="2211"/>
      <c r="CK9" s="2212"/>
      <c r="CL9" s="2212"/>
      <c r="CM9" s="2211"/>
      <c r="CN9" s="2211"/>
      <c r="CO9" s="2212"/>
      <c r="CP9" s="2212"/>
      <c r="CQ9" s="2211"/>
      <c r="CR9" s="2212"/>
      <c r="CS9" s="2212"/>
      <c r="CT9" s="2211"/>
      <c r="CU9" s="2212"/>
      <c r="CV9" s="2212"/>
      <c r="CW9" s="2211"/>
      <c r="CX9" s="2212"/>
      <c r="CY9" s="2212"/>
      <c r="CZ9" s="2211"/>
      <c r="DA9" s="2212"/>
      <c r="DB9" s="2212"/>
      <c r="DC9" s="2211"/>
      <c r="DD9" s="2211"/>
      <c r="DE9" s="2212"/>
      <c r="DF9" s="2212"/>
      <c r="DG9" s="2211"/>
      <c r="DH9" s="2212"/>
      <c r="DI9" s="2212"/>
      <c r="DJ9" s="2211"/>
      <c r="DK9" s="2212"/>
      <c r="DL9" s="2212"/>
      <c r="DM9" s="2211"/>
      <c r="DN9" s="2211"/>
      <c r="DO9" s="2212"/>
      <c r="DP9" s="2212"/>
      <c r="DQ9" s="2212"/>
      <c r="DR9" s="2211"/>
      <c r="DS9" s="2211"/>
      <c r="DT9" s="2211"/>
      <c r="DU9" s="2211"/>
      <c r="DV9" s="2211"/>
      <c r="DW9" s="2211"/>
      <c r="DX9" s="2211"/>
      <c r="DY9" s="2211"/>
      <c r="DZ9" s="2212"/>
      <c r="EA9" s="2212"/>
      <c r="EB9" s="2211"/>
      <c r="EC9" s="2211"/>
      <c r="ED9" s="2215"/>
      <c r="EE9" s="2206">
        <f t="shared" ref="EE9:EE15" si="4">+L9+M9+N9+P9+R9+S9+T9+W9+X9+Y9+AA9+AB9+AC9+AF9+AG9+AH9+AI9+AL9+AO9+AR9+AS9+AT9+AU9+AX9+BG9+BM9+BP9+BS9+BV9+BY9+CB9+CC9+CF9+CG9+CJ9+CM9+CN9+CQ9+CT9+CW9+CZ9+DC9+DD9+DG9+DJ9+DM9+DN9+DR9+DS9+DT9+DU9+DV9+DX9+DY9+EB9+EC9+ED9+BJ9+BD9+BA9+AD9</f>
        <v>2236478</v>
      </c>
      <c r="EF9" s="2165">
        <f t="shared" ref="EF9:EF15" si="5">EE9-K9</f>
        <v>0</v>
      </c>
      <c r="EG9" s="2166"/>
      <c r="EH9" s="2209">
        <f t="shared" ref="EH9:EH15" si="6">+K9-EJ9</f>
        <v>2236478</v>
      </c>
      <c r="EI9" s="2166">
        <f t="shared" ref="EI9:EI75" si="7">+EJ9-X9</f>
        <v>-50000</v>
      </c>
      <c r="EJ9" s="2209">
        <f t="shared" ref="EJ9:EJ15" si="8">+V9+AK9+AN9++AQ9+AW9+AZ9+BI9+BO9+BR9+BU9+BX9+CA9+CE9+CI9+CL9+CP9+DB9+DF9+DI9+DL9+DQ9</f>
        <v>0</v>
      </c>
      <c r="EL9" s="2208"/>
      <c r="EP9" s="2208"/>
      <c r="EQ9" s="2208"/>
    </row>
    <row r="10" spans="1:147" ht="17.25" customHeight="1" outlineLevel="1">
      <c r="A10" s="2197">
        <v>5023</v>
      </c>
      <c r="B10" s="2198" t="s">
        <v>478</v>
      </c>
      <c r="C10" s="2209">
        <v>3020000</v>
      </c>
      <c r="D10" s="2209">
        <v>3500000</v>
      </c>
      <c r="E10" s="2209">
        <v>3500000</v>
      </c>
      <c r="F10" s="2209">
        <v>3500000</v>
      </c>
      <c r="G10" s="2209">
        <v>3500000</v>
      </c>
      <c r="H10" s="2209">
        <v>3500000</v>
      </c>
      <c r="I10" s="2209">
        <v>3500000</v>
      </c>
      <c r="J10" s="2209">
        <v>3500000</v>
      </c>
      <c r="K10" s="2209">
        <f t="shared" si="2"/>
        <v>3500000</v>
      </c>
      <c r="L10" s="2210" t="s">
        <v>582</v>
      </c>
      <c r="M10" s="2211"/>
      <c r="N10" s="2211"/>
      <c r="O10" s="2211"/>
      <c r="P10" s="2211"/>
      <c r="Q10" s="2211"/>
      <c r="R10" s="2211">
        <f>+'[1] návrh 2025'!$E$19</f>
        <v>3500000</v>
      </c>
      <c r="S10" s="2211">
        <f>+'[1] návrh 2025'!$E$18</f>
        <v>0</v>
      </c>
      <c r="T10" s="2211">
        <f t="shared" si="3"/>
        <v>0</v>
      </c>
      <c r="U10" s="2212">
        <f>+'[1] návrh 2025'!$E$3+'[1] návrh 2025'!$E$13+'[1] návrh 2025'!$E$14+'[1] návrh 2025'!$E$16+'[1] návrh 2025'!$E$17</f>
        <v>0</v>
      </c>
      <c r="V10" s="2213"/>
      <c r="W10" s="2211">
        <f>+'[1] návrh 2025'!$E$15</f>
        <v>0</v>
      </c>
      <c r="X10" s="2214">
        <f>+'[1] návrh 2025'!$E$10</f>
        <v>0</v>
      </c>
      <c r="Y10" s="2201">
        <f>+'[1] návrh 2025'!$E$6</f>
        <v>0</v>
      </c>
      <c r="Z10" s="2201"/>
      <c r="AA10" s="2211"/>
      <c r="AB10" s="2201">
        <f>+'[1] návrh 2025'!$E$4</f>
        <v>0</v>
      </c>
      <c r="AC10" s="2201">
        <f>+'[1] návrh 2025'!$E$7</f>
        <v>0</v>
      </c>
      <c r="AD10" s="2201"/>
      <c r="AE10" s="2201"/>
      <c r="AF10" s="2201">
        <f>+'[1] návrh 2025'!$E$8</f>
        <v>0</v>
      </c>
      <c r="AG10" s="2201">
        <f>+'[1] návrh 2025'!$E$9</f>
        <v>0</v>
      </c>
      <c r="AH10" s="2211"/>
      <c r="AI10" s="2211"/>
      <c r="AJ10" s="2212"/>
      <c r="AK10" s="2212"/>
      <c r="AL10" s="2201">
        <f>+'[1] návrh 2025'!$E$11</f>
        <v>0</v>
      </c>
      <c r="AM10" s="2212"/>
      <c r="AN10" s="2212"/>
      <c r="AO10" s="2211"/>
      <c r="AP10" s="2212"/>
      <c r="AQ10" s="2212"/>
      <c r="AR10" s="2201">
        <f>+'[1] návrh 2025'!$E$5</f>
        <v>0</v>
      </c>
      <c r="AS10" s="2211"/>
      <c r="AT10" s="2211"/>
      <c r="AU10" s="2211"/>
      <c r="AV10" s="2212"/>
      <c r="AW10" s="2212"/>
      <c r="AX10" s="2211"/>
      <c r="AY10" s="2212"/>
      <c r="AZ10" s="2212"/>
      <c r="BA10" s="2211"/>
      <c r="BB10" s="2212"/>
      <c r="BC10" s="2212"/>
      <c r="BD10" s="2211"/>
      <c r="BE10" s="2212"/>
      <c r="BF10" s="2212"/>
      <c r="BG10" s="2211"/>
      <c r="BH10" s="2212"/>
      <c r="BI10" s="2212"/>
      <c r="BJ10" s="2201">
        <v>0</v>
      </c>
      <c r="BK10" s="2212"/>
      <c r="BL10" s="2212"/>
      <c r="BM10" s="2201">
        <f>+'[1] návrh 2025'!$E$12</f>
        <v>0</v>
      </c>
      <c r="BN10" s="2212"/>
      <c r="BO10" s="2212"/>
      <c r="BP10" s="2211"/>
      <c r="BQ10" s="2212"/>
      <c r="BR10" s="2212"/>
      <c r="BS10" s="2211"/>
      <c r="BT10" s="2212"/>
      <c r="BU10" s="2212"/>
      <c r="BV10" s="2211"/>
      <c r="BW10" s="2212"/>
      <c r="BX10" s="2212"/>
      <c r="BY10" s="2211"/>
      <c r="BZ10" s="2212"/>
      <c r="CA10" s="2212"/>
      <c r="CB10" s="2211"/>
      <c r="CC10" s="2211"/>
      <c r="CD10" s="2212"/>
      <c r="CE10" s="2212"/>
      <c r="CF10" s="2211"/>
      <c r="CG10" s="2211"/>
      <c r="CH10" s="2212"/>
      <c r="CI10" s="2212"/>
      <c r="CJ10" s="2211"/>
      <c r="CK10" s="2212"/>
      <c r="CL10" s="2212"/>
      <c r="CM10" s="2211"/>
      <c r="CN10" s="2211"/>
      <c r="CO10" s="2212"/>
      <c r="CP10" s="2212"/>
      <c r="CQ10" s="2211"/>
      <c r="CR10" s="2212"/>
      <c r="CS10" s="2212"/>
      <c r="CT10" s="2211"/>
      <c r="CU10" s="2212"/>
      <c r="CV10" s="2212"/>
      <c r="CW10" s="2211"/>
      <c r="CX10" s="2212"/>
      <c r="CY10" s="2212"/>
      <c r="CZ10" s="2211"/>
      <c r="DA10" s="2212"/>
      <c r="DB10" s="2212"/>
      <c r="DC10" s="2211"/>
      <c r="DD10" s="2211"/>
      <c r="DE10" s="2212"/>
      <c r="DF10" s="2212"/>
      <c r="DG10" s="2211"/>
      <c r="DH10" s="2212"/>
      <c r="DI10" s="2212"/>
      <c r="DJ10" s="2211"/>
      <c r="DK10" s="2212"/>
      <c r="DL10" s="2212"/>
      <c r="DM10" s="2211"/>
      <c r="DN10" s="2211"/>
      <c r="DO10" s="2212"/>
      <c r="DP10" s="2212"/>
      <c r="DQ10" s="2212"/>
      <c r="DR10" s="2211"/>
      <c r="DS10" s="2211"/>
      <c r="DT10" s="2211"/>
      <c r="DU10" s="2211"/>
      <c r="DV10" s="2211"/>
      <c r="DW10" s="2211"/>
      <c r="DX10" s="2211"/>
      <c r="DY10" s="2211"/>
      <c r="DZ10" s="2212"/>
      <c r="EA10" s="2212"/>
      <c r="EB10" s="2211"/>
      <c r="EC10" s="2211"/>
      <c r="ED10" s="2215"/>
      <c r="EE10" s="2206">
        <f>+R10</f>
        <v>3500000</v>
      </c>
      <c r="EF10" s="2165">
        <f t="shared" si="5"/>
        <v>0</v>
      </c>
      <c r="EG10" s="2166"/>
      <c r="EH10" s="2209">
        <f t="shared" si="6"/>
        <v>3500000</v>
      </c>
      <c r="EI10" s="2166">
        <f t="shared" si="7"/>
        <v>0</v>
      </c>
      <c r="EJ10" s="2209">
        <f t="shared" si="8"/>
        <v>0</v>
      </c>
      <c r="EL10" s="2208"/>
      <c r="EP10" s="2208"/>
      <c r="EQ10" s="2208"/>
    </row>
    <row r="11" spans="1:147" ht="17.25" hidden="1" customHeight="1" outlineLevel="1">
      <c r="A11" s="2197">
        <v>5024</v>
      </c>
      <c r="B11" s="2198" t="s">
        <v>733</v>
      </c>
      <c r="C11" s="2209">
        <v>0</v>
      </c>
      <c r="D11" s="2209">
        <v>0</v>
      </c>
      <c r="E11" s="2209">
        <v>0</v>
      </c>
      <c r="F11" s="2209">
        <v>0</v>
      </c>
      <c r="G11" s="2209">
        <v>0</v>
      </c>
      <c r="H11" s="2209">
        <v>0</v>
      </c>
      <c r="I11" s="2209">
        <v>0</v>
      </c>
      <c r="J11" s="2209">
        <v>0</v>
      </c>
      <c r="K11" s="2209">
        <f t="shared" si="2"/>
        <v>0</v>
      </c>
      <c r="L11" s="2210"/>
      <c r="M11" s="2211"/>
      <c r="N11" s="2211"/>
      <c r="O11" s="2211"/>
      <c r="P11" s="2211"/>
      <c r="Q11" s="2211"/>
      <c r="R11" s="2211">
        <f>+'[1] návrh 2025'!$F$19</f>
        <v>0</v>
      </c>
      <c r="S11" s="2211">
        <f>+'[1] návrh 2025'!$F$18</f>
        <v>0</v>
      </c>
      <c r="T11" s="2211">
        <f t="shared" si="3"/>
        <v>0</v>
      </c>
      <c r="U11" s="2212">
        <f>+'[1] návrh 2025'!$F$17+'[1] návrh 2025'!$F$16+'[1] návrh 2025'!$F$13+'[1] návrh 2025'!$F$14+'[1] návrh 2025'!$F$3</f>
        <v>0</v>
      </c>
      <c r="V11" s="2213"/>
      <c r="W11" s="2211">
        <f>+'[1] návrh 2025'!$F$15</f>
        <v>0</v>
      </c>
      <c r="X11" s="2214">
        <f>+'[1] návrh 2025'!$F$10</f>
        <v>0</v>
      </c>
      <c r="Y11" s="2201">
        <f>+'[1] návrh 2025'!$F$6</f>
        <v>0</v>
      </c>
      <c r="Z11" s="2201"/>
      <c r="AA11" s="2211"/>
      <c r="AB11" s="2201">
        <f>+'[1] návrh 2025'!$F$4</f>
        <v>0</v>
      </c>
      <c r="AC11" s="2201">
        <f>+'[1] návrh 2025'!$F$7</f>
        <v>0</v>
      </c>
      <c r="AD11" s="2201"/>
      <c r="AE11" s="2201"/>
      <c r="AF11" s="2201">
        <f>+'[1] návrh 2025'!$F$8</f>
        <v>0</v>
      </c>
      <c r="AG11" s="2201">
        <f>+'[1] návrh 2025'!$F$9</f>
        <v>0</v>
      </c>
      <c r="AH11" s="2211"/>
      <c r="AI11" s="2211"/>
      <c r="AJ11" s="2212"/>
      <c r="AK11" s="2212"/>
      <c r="AL11" s="2201">
        <f>+'[1] návrh 2025'!$F$11</f>
        <v>0</v>
      </c>
      <c r="AM11" s="2212"/>
      <c r="AN11" s="2212"/>
      <c r="AO11" s="2211"/>
      <c r="AP11" s="2212"/>
      <c r="AQ11" s="2212"/>
      <c r="AR11" s="2201">
        <f>+'[1] návrh 2025'!$F$5</f>
        <v>0</v>
      </c>
      <c r="AS11" s="2211"/>
      <c r="AT11" s="2211"/>
      <c r="AU11" s="2211"/>
      <c r="AV11" s="2212"/>
      <c r="AW11" s="2212"/>
      <c r="AX11" s="2211"/>
      <c r="AY11" s="2212"/>
      <c r="AZ11" s="2212"/>
      <c r="BA11" s="2211"/>
      <c r="BB11" s="2212"/>
      <c r="BC11" s="2212"/>
      <c r="BD11" s="2211"/>
      <c r="BE11" s="2212"/>
      <c r="BF11" s="2212"/>
      <c r="BG11" s="2211"/>
      <c r="BH11" s="2212"/>
      <c r="BI11" s="2212"/>
      <c r="BJ11" s="2201">
        <v>0</v>
      </c>
      <c r="BK11" s="2212"/>
      <c r="BL11" s="2212"/>
      <c r="BM11" s="2201">
        <f>+'[1] návrh 2025'!$F$12</f>
        <v>0</v>
      </c>
      <c r="BN11" s="2212"/>
      <c r="BO11" s="2212"/>
      <c r="BP11" s="2211"/>
      <c r="BQ11" s="2212"/>
      <c r="BR11" s="2212"/>
      <c r="BS11" s="2211"/>
      <c r="BT11" s="2212"/>
      <c r="BU11" s="2212"/>
      <c r="BV11" s="2211"/>
      <c r="BW11" s="2212"/>
      <c r="BX11" s="2212"/>
      <c r="BY11" s="2211"/>
      <c r="BZ11" s="2212"/>
      <c r="CA11" s="2212"/>
      <c r="CB11" s="2211"/>
      <c r="CC11" s="2211"/>
      <c r="CD11" s="2212"/>
      <c r="CE11" s="2212"/>
      <c r="CF11" s="2211"/>
      <c r="CG11" s="2211"/>
      <c r="CH11" s="2212"/>
      <c r="CI11" s="2212"/>
      <c r="CJ11" s="2211"/>
      <c r="CK11" s="2212"/>
      <c r="CL11" s="2212"/>
      <c r="CM11" s="2211"/>
      <c r="CN11" s="2211"/>
      <c r="CO11" s="2212"/>
      <c r="CP11" s="2212"/>
      <c r="CQ11" s="2211"/>
      <c r="CR11" s="2212"/>
      <c r="CS11" s="2212"/>
      <c r="CT11" s="2211"/>
      <c r="CU11" s="2212"/>
      <c r="CV11" s="2212"/>
      <c r="CW11" s="2211"/>
      <c r="CX11" s="2212"/>
      <c r="CY11" s="2212"/>
      <c r="CZ11" s="2211"/>
      <c r="DA11" s="2212"/>
      <c r="DB11" s="2212"/>
      <c r="DC11" s="2211"/>
      <c r="DD11" s="2211"/>
      <c r="DE11" s="2212"/>
      <c r="DF11" s="2212"/>
      <c r="DG11" s="2211"/>
      <c r="DH11" s="2212"/>
      <c r="DI11" s="2212"/>
      <c r="DJ11" s="2211"/>
      <c r="DK11" s="2212"/>
      <c r="DL11" s="2212"/>
      <c r="DM11" s="2211"/>
      <c r="DN11" s="2211"/>
      <c r="DO11" s="2212"/>
      <c r="DP11" s="2212"/>
      <c r="DQ11" s="2212"/>
      <c r="DR11" s="2211"/>
      <c r="DS11" s="2211"/>
      <c r="DT11" s="2211"/>
      <c r="DU11" s="2211"/>
      <c r="DV11" s="2211"/>
      <c r="DW11" s="2211"/>
      <c r="DX11" s="2211"/>
      <c r="DY11" s="2211"/>
      <c r="DZ11" s="2212"/>
      <c r="EA11" s="2212"/>
      <c r="EB11" s="2211"/>
      <c r="EC11" s="2211"/>
      <c r="ED11" s="2215"/>
      <c r="EE11" s="2206">
        <f t="shared" si="4"/>
        <v>0</v>
      </c>
      <c r="EF11" s="2165">
        <f t="shared" si="5"/>
        <v>0</v>
      </c>
      <c r="EG11" s="2166"/>
      <c r="EH11" s="2209">
        <f t="shared" si="6"/>
        <v>0</v>
      </c>
      <c r="EI11" s="2166">
        <f t="shared" si="7"/>
        <v>0</v>
      </c>
      <c r="EJ11" s="2209">
        <f t="shared" si="8"/>
        <v>0</v>
      </c>
      <c r="EL11" s="2208"/>
      <c r="EP11" s="2208"/>
      <c r="EQ11" s="2208"/>
    </row>
    <row r="12" spans="1:147" ht="17.25" customHeight="1" outlineLevel="1">
      <c r="A12" s="2197">
        <v>5029</v>
      </c>
      <c r="B12" s="2198" t="s">
        <v>66</v>
      </c>
      <c r="C12" s="2209">
        <v>30000</v>
      </c>
      <c r="D12" s="2209">
        <v>30000</v>
      </c>
      <c r="E12" s="2209">
        <v>30000</v>
      </c>
      <c r="F12" s="2209">
        <v>30000</v>
      </c>
      <c r="G12" s="2209">
        <v>30000</v>
      </c>
      <c r="H12" s="2209">
        <v>30000</v>
      </c>
      <c r="I12" s="2209">
        <v>30000</v>
      </c>
      <c r="J12" s="2209">
        <v>30000</v>
      </c>
      <c r="K12" s="2209">
        <f>SUM(L12:T12)+SUM(X12:AI12)+AL12+AO12+SUM(AR12:AU12)+AX12+BG12+BM12+BP12+BS12+BV12+BY12+CB12+CC12+CF12+CG12+CJ12+SUM(CM12:CN12)+CW12+CZ12+DC12+DD12+DG12+DJ12+DM12+DN12+SUM(DR12:ED12)+CQ12+CT12+W12</f>
        <v>46211</v>
      </c>
      <c r="L12" s="2210"/>
      <c r="M12" s="2211"/>
      <c r="N12" s="2211"/>
      <c r="O12" s="2211"/>
      <c r="P12" s="2211"/>
      <c r="Q12" s="2211"/>
      <c r="R12" s="2211">
        <f>+'[1] návrh 2025'!$G$19</f>
        <v>0</v>
      </c>
      <c r="S12" s="2211">
        <f>+'[1] návrh 2025'!$G$18</f>
        <v>1211</v>
      </c>
      <c r="T12" s="2211">
        <f t="shared" si="3"/>
        <v>0</v>
      </c>
      <c r="U12" s="2212">
        <f>+'[1] návrh 2025'!$G$3+'[1] návrh 2025'!$G$13+'[1] návrh 2025'!$G$14+'[1] návrh 2025'!$G$16+'[1] návrh 2025'!$G$17</f>
        <v>0</v>
      </c>
      <c r="V12" s="2213"/>
      <c r="W12" s="2211">
        <f>+'[1] návrh 2025'!$G$15</f>
        <v>0</v>
      </c>
      <c r="X12" s="2214">
        <f>+'[1] návrh 2025'!$G$10</f>
        <v>0</v>
      </c>
      <c r="Y12" s="2201">
        <f>+'[1] návrh 2025'!$G$6</f>
        <v>0</v>
      </c>
      <c r="Z12" s="2201"/>
      <c r="AA12" s="2211"/>
      <c r="AB12" s="2201">
        <f>+'[1] návrh 2025'!$G$4</f>
        <v>0</v>
      </c>
      <c r="AC12" s="2201">
        <f>+'[1] návrh 2025'!$G$7</f>
        <v>0</v>
      </c>
      <c r="AD12" s="2201"/>
      <c r="AE12" s="2201"/>
      <c r="AF12" s="2201">
        <f>+'[1] návrh 2025'!$G$8</f>
        <v>0</v>
      </c>
      <c r="AG12" s="2201">
        <f>+'[1] návrh 2025'!$G$9</f>
        <v>0</v>
      </c>
      <c r="AH12" s="2211"/>
      <c r="AI12" s="2211"/>
      <c r="AJ12" s="2212"/>
      <c r="AK12" s="2212"/>
      <c r="AL12" s="2201">
        <f>+'[1] návrh 2025'!$G$11</f>
        <v>0</v>
      </c>
      <c r="AM12" s="2212"/>
      <c r="AN12" s="2212"/>
      <c r="AO12" s="2211"/>
      <c r="AP12" s="2212"/>
      <c r="AQ12" s="2212"/>
      <c r="AR12" s="2201">
        <f>+'[1] návrh 2025'!$G$5</f>
        <v>45000</v>
      </c>
      <c r="AS12" s="2211"/>
      <c r="AT12" s="2211"/>
      <c r="AU12" s="2211"/>
      <c r="AV12" s="2212"/>
      <c r="AW12" s="2212"/>
      <c r="AX12" s="2211"/>
      <c r="AY12" s="2212"/>
      <c r="AZ12" s="2212"/>
      <c r="BA12" s="2211"/>
      <c r="BB12" s="2212"/>
      <c r="BC12" s="2212"/>
      <c r="BD12" s="2211"/>
      <c r="BE12" s="2212"/>
      <c r="BF12" s="2212"/>
      <c r="BG12" s="2211"/>
      <c r="BH12" s="2212"/>
      <c r="BI12" s="2212"/>
      <c r="BJ12" s="2201">
        <v>0</v>
      </c>
      <c r="BK12" s="2212"/>
      <c r="BL12" s="2212"/>
      <c r="BM12" s="2201">
        <f>+'[1] návrh 2025'!$G$12</f>
        <v>0</v>
      </c>
      <c r="BN12" s="2212"/>
      <c r="BO12" s="2212"/>
      <c r="BP12" s="2211"/>
      <c r="BQ12" s="2212"/>
      <c r="BR12" s="2212"/>
      <c r="BS12" s="2211"/>
      <c r="BT12" s="2212"/>
      <c r="BU12" s="2212"/>
      <c r="BV12" s="2211"/>
      <c r="BW12" s="2212"/>
      <c r="BX12" s="2212"/>
      <c r="BY12" s="2211"/>
      <c r="BZ12" s="2212"/>
      <c r="CA12" s="2212"/>
      <c r="CB12" s="2211"/>
      <c r="CC12" s="2211"/>
      <c r="CD12" s="2212"/>
      <c r="CE12" s="2212"/>
      <c r="CF12" s="2211"/>
      <c r="CG12" s="2211"/>
      <c r="CH12" s="2212"/>
      <c r="CI12" s="2212"/>
      <c r="CJ12" s="2211"/>
      <c r="CK12" s="2212"/>
      <c r="CL12" s="2212"/>
      <c r="CM12" s="2211"/>
      <c r="CN12" s="2211"/>
      <c r="CO12" s="2212"/>
      <c r="CP12" s="2212"/>
      <c r="CQ12" s="2211"/>
      <c r="CR12" s="2212"/>
      <c r="CS12" s="2212"/>
      <c r="CT12" s="2211"/>
      <c r="CU12" s="2212"/>
      <c r="CV12" s="2212"/>
      <c r="CW12" s="2211"/>
      <c r="CX12" s="2212"/>
      <c r="CY12" s="2212"/>
      <c r="CZ12" s="2211"/>
      <c r="DA12" s="2212"/>
      <c r="DB12" s="2212"/>
      <c r="DC12" s="2211"/>
      <c r="DD12" s="2211"/>
      <c r="DE12" s="2212"/>
      <c r="DF12" s="2212"/>
      <c r="DG12" s="2211"/>
      <c r="DH12" s="2212"/>
      <c r="DI12" s="2212"/>
      <c r="DJ12" s="2211"/>
      <c r="DK12" s="2212"/>
      <c r="DL12" s="2212"/>
      <c r="DM12" s="2211"/>
      <c r="DN12" s="2211"/>
      <c r="DO12" s="2212"/>
      <c r="DP12" s="2212"/>
      <c r="DQ12" s="2212"/>
      <c r="DR12" s="2211"/>
      <c r="DS12" s="2211"/>
      <c r="DT12" s="2211"/>
      <c r="DU12" s="2211"/>
      <c r="DV12" s="2211"/>
      <c r="DW12" s="2211"/>
      <c r="DX12" s="2211"/>
      <c r="DY12" s="2211"/>
      <c r="DZ12" s="2212"/>
      <c r="EA12" s="2212"/>
      <c r="EB12" s="2211"/>
      <c r="EC12" s="2211"/>
      <c r="ED12" s="2215"/>
      <c r="EE12" s="2206">
        <f t="shared" si="4"/>
        <v>46211</v>
      </c>
      <c r="EF12" s="2165">
        <f t="shared" si="5"/>
        <v>0</v>
      </c>
      <c r="EG12" s="2166"/>
      <c r="EH12" s="2209">
        <f t="shared" si="6"/>
        <v>46211</v>
      </c>
      <c r="EI12" s="2166">
        <f t="shared" si="7"/>
        <v>0</v>
      </c>
      <c r="EJ12" s="2209">
        <f t="shared" si="8"/>
        <v>0</v>
      </c>
      <c r="EL12" s="2208"/>
      <c r="EP12" s="2208"/>
      <c r="EQ12" s="2208"/>
    </row>
    <row r="13" spans="1:147" ht="17.25" customHeight="1" outlineLevel="1">
      <c r="A13" s="2197">
        <v>5031</v>
      </c>
      <c r="B13" s="2198" t="s">
        <v>67</v>
      </c>
      <c r="C13" s="2209">
        <v>8112500</v>
      </c>
      <c r="D13" s="2209">
        <v>9344125</v>
      </c>
      <c r="E13" s="2209">
        <v>9344125</v>
      </c>
      <c r="F13" s="2209">
        <v>9344125</v>
      </c>
      <c r="G13" s="2209">
        <v>9344125</v>
      </c>
      <c r="H13" s="2209">
        <v>9344125</v>
      </c>
      <c r="I13" s="2209">
        <v>9344125</v>
      </c>
      <c r="J13" s="2209">
        <v>9344125</v>
      </c>
      <c r="K13" s="2209">
        <f t="shared" si="2"/>
        <v>9019225</v>
      </c>
      <c r="L13" s="2210"/>
      <c r="M13" s="2211"/>
      <c r="N13" s="2211"/>
      <c r="O13" s="2211"/>
      <c r="P13" s="2211"/>
      <c r="Q13" s="2211"/>
      <c r="R13" s="2211">
        <f>+'[1] návrh 2025'!$H$19</f>
        <v>875000</v>
      </c>
      <c r="S13" s="2211">
        <f>+'[1] návrh 2025'!$H$18</f>
        <v>0</v>
      </c>
      <c r="T13" s="2211">
        <f t="shared" si="3"/>
        <v>5795625</v>
      </c>
      <c r="U13" s="2212">
        <f>+'[1] návrh 2025'!$H$17+'[1] návrh 2025'!$H$16+'[1] návrh 2025'!$H$14+'[1] návrh 2025'!$H$13+'[1] návrh 2025'!$H$3</f>
        <v>5795625</v>
      </c>
      <c r="V13" s="2213"/>
      <c r="W13" s="2211">
        <f>+'[1] návrh 2025'!$H$15</f>
        <v>0</v>
      </c>
      <c r="X13" s="2214">
        <f>+'[1] návrh 2025'!$H$10</f>
        <v>12500</v>
      </c>
      <c r="Y13" s="2201">
        <f>+'[1] návrh 2025'!$H$6</f>
        <v>473000</v>
      </c>
      <c r="Z13" s="2201"/>
      <c r="AA13" s="2211"/>
      <c r="AB13" s="2201">
        <f>+'[1] návrh 2025'!$H$4</f>
        <v>1443000</v>
      </c>
      <c r="AC13" s="2201">
        <f>+'[1] návrh 2025'!$H$7</f>
        <v>3100</v>
      </c>
      <c r="AD13" s="2201"/>
      <c r="AE13" s="2201"/>
      <c r="AF13" s="2201">
        <f>+'[1] návrh 2025'!$H$8</f>
        <v>380000</v>
      </c>
      <c r="AG13" s="2201">
        <f>+'[1] návrh 2025'!$H$9</f>
        <v>7000</v>
      </c>
      <c r="AH13" s="2211"/>
      <c r="AI13" s="2211"/>
      <c r="AJ13" s="2212"/>
      <c r="AK13" s="2212"/>
      <c r="AL13" s="2201">
        <f>+'[1] návrh 2025'!$H$11</f>
        <v>0</v>
      </c>
      <c r="AM13" s="2212"/>
      <c r="AN13" s="2212"/>
      <c r="AO13" s="2211"/>
      <c r="AP13" s="2212"/>
      <c r="AQ13" s="2212"/>
      <c r="AR13" s="2201">
        <f>+'[1] návrh 2025'!$H$5</f>
        <v>30000</v>
      </c>
      <c r="AS13" s="2211"/>
      <c r="AT13" s="2211"/>
      <c r="AU13" s="2211"/>
      <c r="AV13" s="2212"/>
      <c r="AW13" s="2212"/>
      <c r="AX13" s="2211"/>
      <c r="AY13" s="2212"/>
      <c r="AZ13" s="2212"/>
      <c r="BA13" s="2211"/>
      <c r="BB13" s="2212"/>
      <c r="BC13" s="2212"/>
      <c r="BD13" s="2211"/>
      <c r="BE13" s="2212"/>
      <c r="BF13" s="2212"/>
      <c r="BG13" s="2211"/>
      <c r="BH13" s="2212"/>
      <c r="BI13" s="2212"/>
      <c r="BJ13" s="2201">
        <v>0</v>
      </c>
      <c r="BK13" s="2212"/>
      <c r="BL13" s="2212"/>
      <c r="BM13" s="2201">
        <f>+'[1] návrh 2025'!$H$12</f>
        <v>0</v>
      </c>
      <c r="BN13" s="2212"/>
      <c r="BO13" s="2212"/>
      <c r="BP13" s="2211"/>
      <c r="BQ13" s="2212"/>
      <c r="BR13" s="2212"/>
      <c r="BS13" s="2211"/>
      <c r="BT13" s="2212"/>
      <c r="BU13" s="2212"/>
      <c r="BV13" s="2211"/>
      <c r="BW13" s="2212"/>
      <c r="BX13" s="2212"/>
      <c r="BY13" s="2211"/>
      <c r="BZ13" s="2212"/>
      <c r="CA13" s="2212"/>
      <c r="CB13" s="2211"/>
      <c r="CC13" s="2211"/>
      <c r="CD13" s="2212"/>
      <c r="CE13" s="2212"/>
      <c r="CF13" s="2211"/>
      <c r="CG13" s="2211"/>
      <c r="CH13" s="2212"/>
      <c r="CI13" s="2212"/>
      <c r="CJ13" s="2211"/>
      <c r="CK13" s="2212"/>
      <c r="CL13" s="2212"/>
      <c r="CM13" s="2211"/>
      <c r="CN13" s="2211"/>
      <c r="CO13" s="2212"/>
      <c r="CP13" s="2212"/>
      <c r="CQ13" s="2211"/>
      <c r="CR13" s="2212"/>
      <c r="CS13" s="2212"/>
      <c r="CT13" s="2211"/>
      <c r="CU13" s="2212"/>
      <c r="CV13" s="2212"/>
      <c r="CW13" s="2211"/>
      <c r="CX13" s="2212"/>
      <c r="CY13" s="2212"/>
      <c r="CZ13" s="2211"/>
      <c r="DA13" s="2212"/>
      <c r="DB13" s="2212"/>
      <c r="DC13" s="2211"/>
      <c r="DD13" s="2211"/>
      <c r="DE13" s="2212"/>
      <c r="DF13" s="2212"/>
      <c r="DG13" s="2211"/>
      <c r="DH13" s="2212"/>
      <c r="DI13" s="2212"/>
      <c r="DJ13" s="2211"/>
      <c r="DK13" s="2212"/>
      <c r="DL13" s="2212"/>
      <c r="DM13" s="2211"/>
      <c r="DN13" s="2211"/>
      <c r="DO13" s="2212"/>
      <c r="DP13" s="2212"/>
      <c r="DQ13" s="2212"/>
      <c r="DR13" s="2211"/>
      <c r="DS13" s="2211"/>
      <c r="DT13" s="2211"/>
      <c r="DU13" s="2211"/>
      <c r="DV13" s="2211"/>
      <c r="DW13" s="2211"/>
      <c r="DX13" s="2211"/>
      <c r="DY13" s="2211"/>
      <c r="DZ13" s="2212"/>
      <c r="EA13" s="2212"/>
      <c r="EB13" s="2211"/>
      <c r="EC13" s="2211"/>
      <c r="ED13" s="2215"/>
      <c r="EE13" s="2206">
        <f t="shared" si="4"/>
        <v>9019225</v>
      </c>
      <c r="EF13" s="2165">
        <f t="shared" si="5"/>
        <v>0</v>
      </c>
      <c r="EG13" s="2166"/>
      <c r="EH13" s="2209">
        <f t="shared" si="6"/>
        <v>9019225</v>
      </c>
      <c r="EI13" s="2166">
        <f t="shared" si="7"/>
        <v>-12500</v>
      </c>
      <c r="EJ13" s="2209">
        <f t="shared" si="8"/>
        <v>0</v>
      </c>
      <c r="EL13" s="2208"/>
      <c r="EP13" s="2208"/>
      <c r="EQ13" s="2208"/>
    </row>
    <row r="14" spans="1:147" ht="17.25" customHeight="1" outlineLevel="1">
      <c r="A14" s="2197">
        <v>5032</v>
      </c>
      <c r="B14" s="2198" t="s">
        <v>68</v>
      </c>
      <c r="C14" s="2209">
        <v>2920500</v>
      </c>
      <c r="D14" s="2209">
        <v>3363885</v>
      </c>
      <c r="E14" s="2209">
        <v>3363885</v>
      </c>
      <c r="F14" s="2209">
        <v>3363885</v>
      </c>
      <c r="G14" s="2209">
        <v>3363885</v>
      </c>
      <c r="H14" s="2209">
        <v>3363885</v>
      </c>
      <c r="I14" s="2209">
        <v>3363885</v>
      </c>
      <c r="J14" s="2209">
        <v>3363885</v>
      </c>
      <c r="K14" s="2209">
        <f t="shared" si="2"/>
        <v>3250540</v>
      </c>
      <c r="L14" s="2210"/>
      <c r="M14" s="2211"/>
      <c r="N14" s="2211"/>
      <c r="O14" s="2211"/>
      <c r="P14" s="2211"/>
      <c r="Q14" s="2211"/>
      <c r="R14" s="2211">
        <f>+'[1] návrh 2025'!$I$19</f>
        <v>315000</v>
      </c>
      <c r="S14" s="2211">
        <f>+'[1] návrh 2025'!$I$18</f>
        <v>0</v>
      </c>
      <c r="T14" s="2211">
        <f t="shared" si="3"/>
        <v>2086425</v>
      </c>
      <c r="U14" s="2212">
        <f>+'[1] návrh 2025'!$I$3+'[1] návrh 2025'!$I$13+'[1] návrh 2025'!$I$14+'[1] návrh 2025'!$I$16+'[1] návrh 2025'!$I$17</f>
        <v>2086425</v>
      </c>
      <c r="V14" s="2213"/>
      <c r="W14" s="2211">
        <f>+'[1] návrh 2025'!$I$15</f>
        <v>0</v>
      </c>
      <c r="X14" s="2214">
        <f>+'[1] návrh 2025'!$I$10</f>
        <v>4710</v>
      </c>
      <c r="Y14" s="2201">
        <f>+'[1] návrh 2025'!$I$6</f>
        <v>172000</v>
      </c>
      <c r="Z14" s="2201"/>
      <c r="AA14" s="2211"/>
      <c r="AB14" s="2201">
        <f>+'[1] návrh 2025'!$I$4</f>
        <v>519480</v>
      </c>
      <c r="AC14" s="2201">
        <f>+'[1] návrh 2025'!$I$7</f>
        <v>1125</v>
      </c>
      <c r="AD14" s="2201"/>
      <c r="AE14" s="2201"/>
      <c r="AF14" s="2201">
        <f>+'[1] návrh 2025'!$I$8</f>
        <v>138000</v>
      </c>
      <c r="AG14" s="2201">
        <f>+'[1] návrh 2025'!$I$9</f>
        <v>3000</v>
      </c>
      <c r="AH14" s="2211"/>
      <c r="AI14" s="2211"/>
      <c r="AJ14" s="2212"/>
      <c r="AK14" s="2212"/>
      <c r="AL14" s="2201">
        <f>+'[1] návrh 2025'!$I$11</f>
        <v>0</v>
      </c>
      <c r="AM14" s="2212"/>
      <c r="AN14" s="2212"/>
      <c r="AO14" s="2211"/>
      <c r="AP14" s="2212"/>
      <c r="AQ14" s="2212"/>
      <c r="AR14" s="2201">
        <f>++'[1] návrh 2025'!$I$5</f>
        <v>10800</v>
      </c>
      <c r="AS14" s="2211"/>
      <c r="AT14" s="2211"/>
      <c r="AU14" s="2211"/>
      <c r="AV14" s="2212"/>
      <c r="AW14" s="2212"/>
      <c r="AX14" s="2211"/>
      <c r="AY14" s="2212"/>
      <c r="AZ14" s="2212"/>
      <c r="BA14" s="2211"/>
      <c r="BB14" s="2212"/>
      <c r="BC14" s="2212"/>
      <c r="BD14" s="2211"/>
      <c r="BE14" s="2212"/>
      <c r="BF14" s="2212"/>
      <c r="BG14" s="2211"/>
      <c r="BH14" s="2212"/>
      <c r="BI14" s="2212"/>
      <c r="BJ14" s="2201">
        <v>0</v>
      </c>
      <c r="BK14" s="2212"/>
      <c r="BL14" s="2212"/>
      <c r="BM14" s="2201">
        <f>+'[1] návrh 2025'!$I$12</f>
        <v>0</v>
      </c>
      <c r="BN14" s="2212"/>
      <c r="BO14" s="2212"/>
      <c r="BP14" s="2211"/>
      <c r="BQ14" s="2212"/>
      <c r="BR14" s="2212"/>
      <c r="BS14" s="2211"/>
      <c r="BT14" s="2212"/>
      <c r="BU14" s="2212"/>
      <c r="BV14" s="2211"/>
      <c r="BW14" s="2212"/>
      <c r="BX14" s="2212"/>
      <c r="BY14" s="2211"/>
      <c r="BZ14" s="2212"/>
      <c r="CA14" s="2212"/>
      <c r="CB14" s="2211"/>
      <c r="CC14" s="2211"/>
      <c r="CD14" s="2212"/>
      <c r="CE14" s="2212"/>
      <c r="CF14" s="2211"/>
      <c r="CG14" s="2211"/>
      <c r="CH14" s="2212"/>
      <c r="CI14" s="2212"/>
      <c r="CJ14" s="2211"/>
      <c r="CK14" s="2212"/>
      <c r="CL14" s="2212"/>
      <c r="CM14" s="2211"/>
      <c r="CN14" s="2211"/>
      <c r="CO14" s="2212"/>
      <c r="CP14" s="2212"/>
      <c r="CQ14" s="2211"/>
      <c r="CR14" s="2212"/>
      <c r="CS14" s="2212"/>
      <c r="CT14" s="2211"/>
      <c r="CU14" s="2212"/>
      <c r="CV14" s="2212"/>
      <c r="CW14" s="2211"/>
      <c r="CX14" s="2212"/>
      <c r="CY14" s="2212"/>
      <c r="CZ14" s="2211"/>
      <c r="DA14" s="2212"/>
      <c r="DB14" s="2212"/>
      <c r="DC14" s="2211"/>
      <c r="DD14" s="2211"/>
      <c r="DE14" s="2212"/>
      <c r="DF14" s="2212"/>
      <c r="DG14" s="2211"/>
      <c r="DH14" s="2212"/>
      <c r="DI14" s="2212"/>
      <c r="DJ14" s="2211"/>
      <c r="DK14" s="2212"/>
      <c r="DL14" s="2212"/>
      <c r="DM14" s="2211"/>
      <c r="DN14" s="2211"/>
      <c r="DO14" s="2212"/>
      <c r="DP14" s="2212"/>
      <c r="DQ14" s="2212"/>
      <c r="DR14" s="2211"/>
      <c r="DS14" s="2211"/>
      <c r="DT14" s="2211"/>
      <c r="DU14" s="2211"/>
      <c r="DV14" s="2211"/>
      <c r="DW14" s="2211"/>
      <c r="DX14" s="2211"/>
      <c r="DY14" s="2211"/>
      <c r="DZ14" s="2212"/>
      <c r="EA14" s="2212"/>
      <c r="EB14" s="2211"/>
      <c r="EC14" s="2211"/>
      <c r="ED14" s="2215"/>
      <c r="EE14" s="2206">
        <f t="shared" si="4"/>
        <v>3250540</v>
      </c>
      <c r="EF14" s="2165">
        <f t="shared" si="5"/>
        <v>0</v>
      </c>
      <c r="EG14" s="2166"/>
      <c r="EH14" s="2209">
        <f t="shared" si="6"/>
        <v>3250540</v>
      </c>
      <c r="EI14" s="2166">
        <f t="shared" si="7"/>
        <v>-4710</v>
      </c>
      <c r="EJ14" s="2209">
        <f t="shared" si="8"/>
        <v>0</v>
      </c>
      <c r="EL14" s="2208"/>
      <c r="EP14" s="2208"/>
      <c r="EQ14" s="2208"/>
    </row>
    <row r="15" spans="1:147" ht="17.25" customHeight="1" outlineLevel="1">
      <c r="A15" s="2197">
        <v>5038</v>
      </c>
      <c r="B15" s="2198" t="s">
        <v>69</v>
      </c>
      <c r="C15" s="2209">
        <v>136289.99999999997</v>
      </c>
      <c r="D15" s="2209">
        <v>156981.29999999999</v>
      </c>
      <c r="E15" s="2209">
        <v>156981.29999999999</v>
      </c>
      <c r="F15" s="2209">
        <v>156981.29999999999</v>
      </c>
      <c r="G15" s="2209">
        <v>156981.29999999999</v>
      </c>
      <c r="H15" s="2209">
        <v>156981.29999999999</v>
      </c>
      <c r="I15" s="2209">
        <v>156981.29999999999</v>
      </c>
      <c r="J15" s="2209">
        <v>156981.29999999999</v>
      </c>
      <c r="K15" s="2209">
        <f t="shared" si="2"/>
        <v>156771</v>
      </c>
      <c r="L15" s="2210"/>
      <c r="M15" s="2211"/>
      <c r="N15" s="2211"/>
      <c r="O15" s="2211"/>
      <c r="P15" s="2211">
        <f>+'[1] návrh 2025'!$J$20</f>
        <v>156771</v>
      </c>
      <c r="Q15" s="2211"/>
      <c r="R15" s="2211">
        <f>+'[1] návrh 2025'!$J$19</f>
        <v>0</v>
      </c>
      <c r="S15" s="2211">
        <f>+'[1] návrh 2025'!$J$18</f>
        <v>0</v>
      </c>
      <c r="T15" s="2211">
        <f t="shared" si="3"/>
        <v>0</v>
      </c>
      <c r="U15" s="2212">
        <f>+'[1] návrh 2025'!$J$17+'[1] návrh 2025'!$J$16+'[1] návrh 2025'!$J$14+'[1] návrh 2025'!$J$13+'[1] návrh 2025'!$J$3</f>
        <v>0</v>
      </c>
      <c r="V15" s="2213"/>
      <c r="W15" s="2211">
        <f>+'[1] návrh 2025'!$J$15</f>
        <v>0</v>
      </c>
      <c r="X15" s="2214">
        <f>+'[1] návrh 2025'!$J$10</f>
        <v>0</v>
      </c>
      <c r="Y15" s="2201">
        <f>+'[1] návrh 2025'!$J$6</f>
        <v>0</v>
      </c>
      <c r="Z15" s="2201"/>
      <c r="AA15" s="2211"/>
      <c r="AB15" s="2201">
        <f>+'[1] návrh 2025'!$J$4</f>
        <v>0</v>
      </c>
      <c r="AC15" s="2201">
        <f>+'[1] návrh 2025'!$J$7</f>
        <v>0</v>
      </c>
      <c r="AD15" s="2201"/>
      <c r="AE15" s="2201"/>
      <c r="AF15" s="2201">
        <f>+'[1] návrh 2025'!$J$8</f>
        <v>0</v>
      </c>
      <c r="AG15" s="2201">
        <f>+'[1] návrh 2025'!$J$9</f>
        <v>0</v>
      </c>
      <c r="AH15" s="2211"/>
      <c r="AI15" s="2211"/>
      <c r="AJ15" s="2212"/>
      <c r="AK15" s="2212"/>
      <c r="AL15" s="2201">
        <f>+'[1] návrh 2025'!$J$11</f>
        <v>0</v>
      </c>
      <c r="AM15" s="2212"/>
      <c r="AN15" s="2212"/>
      <c r="AO15" s="2211"/>
      <c r="AP15" s="2212"/>
      <c r="AQ15" s="2212"/>
      <c r="AR15" s="2201">
        <f>+'[1] návrh 2025'!$J$5</f>
        <v>0</v>
      </c>
      <c r="AS15" s="2211"/>
      <c r="AT15" s="2211"/>
      <c r="AU15" s="2211"/>
      <c r="AV15" s="2212"/>
      <c r="AW15" s="2212"/>
      <c r="AX15" s="2211"/>
      <c r="AY15" s="2212"/>
      <c r="AZ15" s="2212"/>
      <c r="BA15" s="2211"/>
      <c r="BB15" s="2212"/>
      <c r="BC15" s="2212"/>
      <c r="BD15" s="2211"/>
      <c r="BE15" s="2212"/>
      <c r="BF15" s="2212"/>
      <c r="BG15" s="2211"/>
      <c r="BH15" s="2212"/>
      <c r="BI15" s="2212"/>
      <c r="BJ15" s="2201">
        <v>0</v>
      </c>
      <c r="BK15" s="2212"/>
      <c r="BL15" s="2212"/>
      <c r="BM15" s="2201">
        <f>+'[1] návrh 2025'!$J$12</f>
        <v>0</v>
      </c>
      <c r="BN15" s="2212"/>
      <c r="BO15" s="2212"/>
      <c r="BP15" s="2211"/>
      <c r="BQ15" s="2212"/>
      <c r="BR15" s="2212"/>
      <c r="BS15" s="2211"/>
      <c r="BT15" s="2212"/>
      <c r="BU15" s="2212"/>
      <c r="BV15" s="2211"/>
      <c r="BW15" s="2212"/>
      <c r="BX15" s="2212"/>
      <c r="BY15" s="2211"/>
      <c r="BZ15" s="2212"/>
      <c r="CA15" s="2212"/>
      <c r="CB15" s="2211"/>
      <c r="CC15" s="2211"/>
      <c r="CD15" s="2212"/>
      <c r="CE15" s="2212"/>
      <c r="CF15" s="2211"/>
      <c r="CG15" s="2211"/>
      <c r="CH15" s="2212"/>
      <c r="CI15" s="2212"/>
      <c r="CJ15" s="2211"/>
      <c r="CK15" s="2212"/>
      <c r="CL15" s="2212"/>
      <c r="CM15" s="2211"/>
      <c r="CN15" s="2211"/>
      <c r="CO15" s="2212"/>
      <c r="CP15" s="2212"/>
      <c r="CQ15" s="2211"/>
      <c r="CR15" s="2212"/>
      <c r="CS15" s="2212"/>
      <c r="CT15" s="2211"/>
      <c r="CU15" s="2212"/>
      <c r="CV15" s="2212"/>
      <c r="CW15" s="2211"/>
      <c r="CX15" s="2212"/>
      <c r="CY15" s="2212"/>
      <c r="CZ15" s="2211"/>
      <c r="DA15" s="2212"/>
      <c r="DB15" s="2212"/>
      <c r="DC15" s="2211"/>
      <c r="DD15" s="2211"/>
      <c r="DE15" s="2212"/>
      <c r="DF15" s="2212"/>
      <c r="DG15" s="2211"/>
      <c r="DH15" s="2212"/>
      <c r="DI15" s="2212"/>
      <c r="DJ15" s="2211"/>
      <c r="DK15" s="2212"/>
      <c r="DL15" s="2212"/>
      <c r="DM15" s="2211"/>
      <c r="DN15" s="2211"/>
      <c r="DO15" s="2212"/>
      <c r="DP15" s="2212"/>
      <c r="DQ15" s="2212"/>
      <c r="DR15" s="2211"/>
      <c r="DS15" s="2211"/>
      <c r="DT15" s="2211"/>
      <c r="DU15" s="2211"/>
      <c r="DV15" s="2211"/>
      <c r="DW15" s="2211"/>
      <c r="DX15" s="2211"/>
      <c r="DY15" s="2211"/>
      <c r="DZ15" s="2212"/>
      <c r="EA15" s="2212"/>
      <c r="EB15" s="2211"/>
      <c r="EC15" s="2211"/>
      <c r="ED15" s="2215"/>
      <c r="EE15" s="2206">
        <f t="shared" si="4"/>
        <v>156771</v>
      </c>
      <c r="EF15" s="2165">
        <f t="shared" si="5"/>
        <v>0</v>
      </c>
      <c r="EG15" s="2166"/>
      <c r="EH15" s="2209">
        <f t="shared" si="6"/>
        <v>156771</v>
      </c>
      <c r="EI15" s="2166">
        <f t="shared" si="7"/>
        <v>0</v>
      </c>
      <c r="EJ15" s="2209">
        <f t="shared" si="8"/>
        <v>0</v>
      </c>
      <c r="EL15" s="2208"/>
      <c r="EP15" s="2208"/>
      <c r="EQ15" s="2208"/>
    </row>
    <row r="16" spans="1:147" ht="15.75" customHeight="1" thickBot="1">
      <c r="A16" s="2216" t="s">
        <v>70</v>
      </c>
      <c r="B16" s="2217" t="s">
        <v>121</v>
      </c>
      <c r="C16" s="2218">
        <v>44009290</v>
      </c>
      <c r="D16" s="2218">
        <v>50799491.299999997</v>
      </c>
      <c r="E16" s="2218">
        <v>50799491.299999997</v>
      </c>
      <c r="F16" s="2218">
        <v>50799491.299999997</v>
      </c>
      <c r="G16" s="2218">
        <v>50799491.299999997</v>
      </c>
      <c r="H16" s="2218">
        <v>50271491.299999997</v>
      </c>
      <c r="I16" s="2218">
        <v>50271491.299999997</v>
      </c>
      <c r="J16" s="2218">
        <v>50271491.299999997</v>
      </c>
      <c r="K16" s="2218">
        <f t="shared" ref="K16:V16" si="9">SUM(K8:K15)</f>
        <v>49109225</v>
      </c>
      <c r="L16" s="2219">
        <f t="shared" si="9"/>
        <v>0</v>
      </c>
      <c r="M16" s="2220">
        <f t="shared" si="9"/>
        <v>0</v>
      </c>
      <c r="N16" s="2220">
        <f t="shared" si="9"/>
        <v>0</v>
      </c>
      <c r="O16" s="2220">
        <f t="shared" si="9"/>
        <v>0</v>
      </c>
      <c r="P16" s="2220">
        <f t="shared" si="9"/>
        <v>156771</v>
      </c>
      <c r="Q16" s="2220">
        <f t="shared" si="9"/>
        <v>0</v>
      </c>
      <c r="R16" s="2220">
        <f t="shared" si="9"/>
        <v>4690000</v>
      </c>
      <c r="S16" s="2220">
        <f t="shared" ref="S16" si="10">SUM(S8:S15)</f>
        <v>145689</v>
      </c>
      <c r="T16" s="2220">
        <f t="shared" si="9"/>
        <v>31064550</v>
      </c>
      <c r="U16" s="2221">
        <f t="shared" si="9"/>
        <v>31064550</v>
      </c>
      <c r="V16" s="2222">
        <f t="shared" si="9"/>
        <v>0</v>
      </c>
      <c r="W16" s="2220">
        <f t="shared" ref="W16" si="11">SUM(W8:W15)</f>
        <v>0</v>
      </c>
      <c r="X16" s="2223">
        <f t="shared" ref="X16:AI16" si="12">SUM(X8:X15)</f>
        <v>67210</v>
      </c>
      <c r="Y16" s="2220">
        <f t="shared" si="12"/>
        <v>2595000</v>
      </c>
      <c r="Z16" s="2220">
        <f t="shared" ref="Z16" si="13">SUM(Z8:Z15)</f>
        <v>0</v>
      </c>
      <c r="AA16" s="2220">
        <f t="shared" si="12"/>
        <v>0</v>
      </c>
      <c r="AB16" s="2220">
        <f t="shared" si="12"/>
        <v>7734480</v>
      </c>
      <c r="AC16" s="2220">
        <f>SUM(AC9:AC15)</f>
        <v>16725</v>
      </c>
      <c r="AD16" s="2220">
        <f t="shared" ref="AD16:AE16" si="14">SUM(AD8:AD15)</f>
        <v>0</v>
      </c>
      <c r="AE16" s="2220">
        <f t="shared" si="14"/>
        <v>0</v>
      </c>
      <c r="AF16" s="2220">
        <f t="shared" si="12"/>
        <v>2168000</v>
      </c>
      <c r="AG16" s="2220">
        <f t="shared" si="12"/>
        <v>265000</v>
      </c>
      <c r="AH16" s="2220">
        <f t="shared" si="12"/>
        <v>0</v>
      </c>
      <c r="AI16" s="2220">
        <f t="shared" si="12"/>
        <v>0</v>
      </c>
      <c r="AJ16" s="2221">
        <f t="shared" ref="AJ16:DF16" si="15">SUM(AJ8:AJ15)</f>
        <v>0</v>
      </c>
      <c r="AK16" s="2221">
        <f t="shared" si="15"/>
        <v>0</v>
      </c>
      <c r="AL16" s="2220">
        <f t="shared" si="15"/>
        <v>0</v>
      </c>
      <c r="AM16" s="2221">
        <f t="shared" si="15"/>
        <v>0</v>
      </c>
      <c r="AN16" s="2221">
        <f t="shared" si="15"/>
        <v>0</v>
      </c>
      <c r="AO16" s="2220">
        <f t="shared" si="15"/>
        <v>0</v>
      </c>
      <c r="AP16" s="2221">
        <f t="shared" si="15"/>
        <v>0</v>
      </c>
      <c r="AQ16" s="2221">
        <f t="shared" si="15"/>
        <v>0</v>
      </c>
      <c r="AR16" s="2220">
        <f t="shared" si="15"/>
        <v>205800</v>
      </c>
      <c r="AS16" s="2220">
        <f t="shared" si="15"/>
        <v>0</v>
      </c>
      <c r="AT16" s="2220">
        <f t="shared" si="15"/>
        <v>0</v>
      </c>
      <c r="AU16" s="2220">
        <f t="shared" si="15"/>
        <v>0</v>
      </c>
      <c r="AV16" s="2221">
        <f t="shared" si="15"/>
        <v>0</v>
      </c>
      <c r="AW16" s="2221">
        <f t="shared" si="15"/>
        <v>0</v>
      </c>
      <c r="AX16" s="2220">
        <f t="shared" si="15"/>
        <v>0</v>
      </c>
      <c r="AY16" s="2221">
        <f t="shared" si="15"/>
        <v>0</v>
      </c>
      <c r="AZ16" s="2221">
        <f t="shared" si="15"/>
        <v>0</v>
      </c>
      <c r="BA16" s="2220">
        <f t="shared" ref="BA16:BC16" si="16">SUM(BA8:BA15)</f>
        <v>0</v>
      </c>
      <c r="BB16" s="2221">
        <f t="shared" si="16"/>
        <v>0</v>
      </c>
      <c r="BC16" s="2221">
        <f t="shared" si="16"/>
        <v>0</v>
      </c>
      <c r="BD16" s="2220">
        <f t="shared" ref="BD16:BF16" si="17">SUM(BD8:BD15)</f>
        <v>0</v>
      </c>
      <c r="BE16" s="2221">
        <f t="shared" si="17"/>
        <v>0</v>
      </c>
      <c r="BF16" s="2221">
        <f t="shared" si="17"/>
        <v>0</v>
      </c>
      <c r="BG16" s="2220">
        <f t="shared" si="15"/>
        <v>0</v>
      </c>
      <c r="BH16" s="2221">
        <f t="shared" si="15"/>
        <v>0</v>
      </c>
      <c r="BI16" s="2221">
        <f t="shared" si="15"/>
        <v>0</v>
      </c>
      <c r="BJ16" s="2220">
        <f t="shared" ref="BJ16:BL16" si="18">SUM(BJ8:BJ15)</f>
        <v>0</v>
      </c>
      <c r="BK16" s="2221">
        <f t="shared" si="18"/>
        <v>0</v>
      </c>
      <c r="BL16" s="2221">
        <f t="shared" si="18"/>
        <v>0</v>
      </c>
      <c r="BM16" s="2220">
        <f t="shared" si="15"/>
        <v>0</v>
      </c>
      <c r="BN16" s="2221">
        <f t="shared" si="15"/>
        <v>0</v>
      </c>
      <c r="BO16" s="2221">
        <f t="shared" si="15"/>
        <v>0</v>
      </c>
      <c r="BP16" s="2220">
        <f t="shared" si="15"/>
        <v>0</v>
      </c>
      <c r="BQ16" s="2221">
        <f t="shared" si="15"/>
        <v>0</v>
      </c>
      <c r="BR16" s="2221">
        <f t="shared" si="15"/>
        <v>0</v>
      </c>
      <c r="BS16" s="2220">
        <f t="shared" si="15"/>
        <v>0</v>
      </c>
      <c r="BT16" s="2221">
        <f t="shared" si="15"/>
        <v>0</v>
      </c>
      <c r="BU16" s="2221">
        <f t="shared" si="15"/>
        <v>0</v>
      </c>
      <c r="BV16" s="2220">
        <f t="shared" si="15"/>
        <v>0</v>
      </c>
      <c r="BW16" s="2221">
        <f t="shared" si="15"/>
        <v>0</v>
      </c>
      <c r="BX16" s="2221">
        <f t="shared" si="15"/>
        <v>0</v>
      </c>
      <c r="BY16" s="2220">
        <f t="shared" si="15"/>
        <v>0</v>
      </c>
      <c r="BZ16" s="2221">
        <f t="shared" si="15"/>
        <v>0</v>
      </c>
      <c r="CA16" s="2221">
        <f t="shared" si="15"/>
        <v>0</v>
      </c>
      <c r="CB16" s="2220">
        <f t="shared" si="15"/>
        <v>0</v>
      </c>
      <c r="CC16" s="2220">
        <f t="shared" si="15"/>
        <v>0</v>
      </c>
      <c r="CD16" s="2221">
        <f t="shared" si="15"/>
        <v>0</v>
      </c>
      <c r="CE16" s="2221">
        <f t="shared" si="15"/>
        <v>0</v>
      </c>
      <c r="CF16" s="2220">
        <f t="shared" si="15"/>
        <v>0</v>
      </c>
      <c r="CG16" s="2220">
        <f t="shared" si="15"/>
        <v>0</v>
      </c>
      <c r="CH16" s="2221">
        <f t="shared" si="15"/>
        <v>0</v>
      </c>
      <c r="CI16" s="2221">
        <f t="shared" si="15"/>
        <v>0</v>
      </c>
      <c r="CJ16" s="2220">
        <f t="shared" si="15"/>
        <v>0</v>
      </c>
      <c r="CK16" s="2221">
        <f t="shared" si="15"/>
        <v>0</v>
      </c>
      <c r="CL16" s="2221">
        <f t="shared" si="15"/>
        <v>0</v>
      </c>
      <c r="CM16" s="2220">
        <f t="shared" si="15"/>
        <v>0</v>
      </c>
      <c r="CN16" s="2220">
        <f t="shared" si="15"/>
        <v>0</v>
      </c>
      <c r="CO16" s="2221">
        <f t="shared" si="15"/>
        <v>0</v>
      </c>
      <c r="CP16" s="2221">
        <f t="shared" si="15"/>
        <v>0</v>
      </c>
      <c r="CQ16" s="2220">
        <f t="shared" si="15"/>
        <v>0</v>
      </c>
      <c r="CR16" s="2221">
        <f t="shared" si="15"/>
        <v>0</v>
      </c>
      <c r="CS16" s="2221">
        <f t="shared" si="15"/>
        <v>0</v>
      </c>
      <c r="CT16" s="2220">
        <f t="shared" si="15"/>
        <v>0</v>
      </c>
      <c r="CU16" s="2221">
        <f t="shared" ref="CU16:CV16" si="19">SUM(CU8:CU15)</f>
        <v>0</v>
      </c>
      <c r="CV16" s="2221">
        <f t="shared" si="19"/>
        <v>0</v>
      </c>
      <c r="CW16" s="2220">
        <f t="shared" si="15"/>
        <v>0</v>
      </c>
      <c r="CX16" s="2221">
        <f t="shared" si="15"/>
        <v>0</v>
      </c>
      <c r="CY16" s="2221">
        <f t="shared" si="15"/>
        <v>0</v>
      </c>
      <c r="CZ16" s="2220">
        <f t="shared" si="15"/>
        <v>0</v>
      </c>
      <c r="DA16" s="2221">
        <f t="shared" si="15"/>
        <v>0</v>
      </c>
      <c r="DB16" s="2221">
        <f t="shared" si="15"/>
        <v>0</v>
      </c>
      <c r="DC16" s="2220">
        <f t="shared" si="15"/>
        <v>0</v>
      </c>
      <c r="DD16" s="2220">
        <f t="shared" si="15"/>
        <v>0</v>
      </c>
      <c r="DE16" s="2221">
        <f t="shared" si="15"/>
        <v>0</v>
      </c>
      <c r="DF16" s="2221">
        <f t="shared" si="15"/>
        <v>0</v>
      </c>
      <c r="DG16" s="2220">
        <f t="shared" ref="DG16:ED16" si="20">SUM(DG8:DG15)</f>
        <v>0</v>
      </c>
      <c r="DH16" s="2221">
        <f t="shared" si="20"/>
        <v>0</v>
      </c>
      <c r="DI16" s="2221">
        <f t="shared" si="20"/>
        <v>0</v>
      </c>
      <c r="DJ16" s="2220">
        <f t="shared" si="20"/>
        <v>0</v>
      </c>
      <c r="DK16" s="2221">
        <f t="shared" si="20"/>
        <v>0</v>
      </c>
      <c r="DL16" s="2221">
        <f t="shared" si="20"/>
        <v>0</v>
      </c>
      <c r="DM16" s="2220">
        <f t="shared" si="20"/>
        <v>0</v>
      </c>
      <c r="DN16" s="2220">
        <f t="shared" si="20"/>
        <v>0</v>
      </c>
      <c r="DO16" s="2221">
        <f t="shared" si="20"/>
        <v>0</v>
      </c>
      <c r="DP16" s="2221">
        <f t="shared" si="20"/>
        <v>0</v>
      </c>
      <c r="DQ16" s="2221">
        <f t="shared" si="20"/>
        <v>0</v>
      </c>
      <c r="DR16" s="2220">
        <f t="shared" si="20"/>
        <v>0</v>
      </c>
      <c r="DS16" s="2220">
        <f t="shared" si="20"/>
        <v>0</v>
      </c>
      <c r="DT16" s="2220">
        <f t="shared" si="20"/>
        <v>0</v>
      </c>
      <c r="DU16" s="2220">
        <f t="shared" ref="DU16" si="21">SUM(DU8:DU15)</f>
        <v>0</v>
      </c>
      <c r="DV16" s="2220">
        <f t="shared" si="20"/>
        <v>0</v>
      </c>
      <c r="DW16" s="2220">
        <f t="shared" si="20"/>
        <v>0</v>
      </c>
      <c r="DX16" s="2220">
        <f t="shared" si="20"/>
        <v>0</v>
      </c>
      <c r="DY16" s="2220">
        <f t="shared" si="20"/>
        <v>0</v>
      </c>
      <c r="DZ16" s="2221">
        <f t="shared" ref="DZ16:EA16" si="22">SUM(DZ8:DZ15)</f>
        <v>0</v>
      </c>
      <c r="EA16" s="2221">
        <f t="shared" si="22"/>
        <v>0</v>
      </c>
      <c r="EB16" s="2220">
        <f t="shared" si="20"/>
        <v>0</v>
      </c>
      <c r="EC16" s="2220">
        <f t="shared" si="20"/>
        <v>0</v>
      </c>
      <c r="ED16" s="2224">
        <f t="shared" si="20"/>
        <v>0</v>
      </c>
      <c r="EE16" s="2206"/>
      <c r="EF16" s="2165"/>
      <c r="EG16" s="2166"/>
      <c r="EH16" s="2218">
        <f>SUM(EH8:EH15)</f>
        <v>49109225</v>
      </c>
      <c r="EI16" s="2166">
        <f t="shared" si="7"/>
        <v>-67210</v>
      </c>
      <c r="EJ16" s="2218">
        <f>SUM(EJ8:EJ15)</f>
        <v>0</v>
      </c>
      <c r="EL16" s="2208"/>
    </row>
    <row r="17" spans="1:142" ht="13.5" hidden="1" customHeight="1">
      <c r="A17" s="2225">
        <v>5178</v>
      </c>
      <c r="B17" s="2198" t="s">
        <v>71</v>
      </c>
      <c r="C17" s="2207">
        <v>0</v>
      </c>
      <c r="D17" s="2207">
        <v>0</v>
      </c>
      <c r="E17" s="2207">
        <v>0</v>
      </c>
      <c r="F17" s="2207">
        <v>0</v>
      </c>
      <c r="G17" s="2207">
        <v>0</v>
      </c>
      <c r="H17" s="2207">
        <v>0</v>
      </c>
      <c r="I17" s="2207">
        <v>0</v>
      </c>
      <c r="J17" s="2207">
        <v>0</v>
      </c>
      <c r="K17" s="2207">
        <f t="shared" ref="K17:K18" si="23">SUM(L17:T17)+SUM(Y17:AI17)+AL17+AO17+SUM(AR17:AU17)+AX17+BG17+BM17+BP17+BS17+BV17+BY17+CB17+CC17+CF17+CG17+CJ17+SUM(CM17:CN17)+CW17+CZ17+DC17+DD17+DG17+DJ17+DM17+DN17+SUM(DR17:ED17)+CQ17+CT17</f>
        <v>0</v>
      </c>
      <c r="L17" s="2200"/>
      <c r="M17" s="2201"/>
      <c r="N17" s="2201"/>
      <c r="O17" s="2201"/>
      <c r="P17" s="2201"/>
      <c r="Q17" s="2201"/>
      <c r="R17" s="2201"/>
      <c r="S17" s="2201"/>
      <c r="T17" s="2201">
        <f>+U17+V17</f>
        <v>0</v>
      </c>
      <c r="U17" s="2202"/>
      <c r="V17" s="2203"/>
      <c r="W17" s="2201"/>
      <c r="X17" s="2226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>
        <f>+AJ17+AK17</f>
        <v>0</v>
      </c>
      <c r="AJ17" s="2202"/>
      <c r="AK17" s="2202"/>
      <c r="AL17" s="2201">
        <f>+AM17+AN17</f>
        <v>0</v>
      </c>
      <c r="AM17" s="2202"/>
      <c r="AN17" s="2202"/>
      <c r="AO17" s="2201">
        <f>+AP17+AQ17</f>
        <v>0</v>
      </c>
      <c r="AP17" s="2202"/>
      <c r="AQ17" s="2202"/>
      <c r="AR17" s="2201"/>
      <c r="AS17" s="2201"/>
      <c r="AT17" s="2201"/>
      <c r="AU17" s="2201">
        <f>+AV17+AW17</f>
        <v>0</v>
      </c>
      <c r="AV17" s="2202"/>
      <c r="AW17" s="2202"/>
      <c r="AX17" s="2201">
        <f>+AY17+AZ17</f>
        <v>0</v>
      </c>
      <c r="AY17" s="2202"/>
      <c r="AZ17" s="2202"/>
      <c r="BA17" s="2201">
        <f>+BB17+BC17</f>
        <v>0</v>
      </c>
      <c r="BB17" s="2202"/>
      <c r="BC17" s="2202"/>
      <c r="BD17" s="2201">
        <f>+BE17+BF17</f>
        <v>0</v>
      </c>
      <c r="BE17" s="2202"/>
      <c r="BF17" s="2202"/>
      <c r="BG17" s="2201">
        <f>+BH17+BI17</f>
        <v>0</v>
      </c>
      <c r="BH17" s="2202"/>
      <c r="BI17" s="2202"/>
      <c r="BJ17" s="2201">
        <f>+BK17+BL17</f>
        <v>0</v>
      </c>
      <c r="BK17" s="2202"/>
      <c r="BL17" s="2202"/>
      <c r="BM17" s="2201">
        <f>+BN17+BO17</f>
        <v>0</v>
      </c>
      <c r="BN17" s="2202"/>
      <c r="BO17" s="2202"/>
      <c r="BP17" s="2201">
        <f>+BQ17+BR17</f>
        <v>0</v>
      </c>
      <c r="BQ17" s="2202"/>
      <c r="BR17" s="2202"/>
      <c r="BS17" s="2201">
        <f>+BT17+BU17</f>
        <v>0</v>
      </c>
      <c r="BT17" s="2202"/>
      <c r="BU17" s="2202"/>
      <c r="BV17" s="2201">
        <f>+BW17+BX17</f>
        <v>0</v>
      </c>
      <c r="BW17" s="2202"/>
      <c r="BX17" s="2202"/>
      <c r="BY17" s="2201">
        <f>+BZ17+CA17</f>
        <v>0</v>
      </c>
      <c r="BZ17" s="2202"/>
      <c r="CA17" s="2202"/>
      <c r="CB17" s="2201"/>
      <c r="CC17" s="2201">
        <f>+CD17+CE17</f>
        <v>0</v>
      </c>
      <c r="CD17" s="2202"/>
      <c r="CE17" s="2202"/>
      <c r="CF17" s="2201"/>
      <c r="CG17" s="2201">
        <f>+CH17+CI17</f>
        <v>0</v>
      </c>
      <c r="CH17" s="2202"/>
      <c r="CI17" s="2202"/>
      <c r="CJ17" s="2201">
        <f>+CK17+CL17</f>
        <v>0</v>
      </c>
      <c r="CK17" s="2202"/>
      <c r="CL17" s="2202"/>
      <c r="CM17" s="2201"/>
      <c r="CN17" s="2201">
        <f>+CO17+CP17</f>
        <v>0</v>
      </c>
      <c r="CO17" s="2202"/>
      <c r="CP17" s="2202"/>
      <c r="CQ17" s="2201"/>
      <c r="CR17" s="2202"/>
      <c r="CS17" s="2202"/>
      <c r="CT17" s="2201"/>
      <c r="CU17" s="2202"/>
      <c r="CV17" s="2202"/>
      <c r="CW17" s="2201"/>
      <c r="CX17" s="2202"/>
      <c r="CY17" s="2202"/>
      <c r="CZ17" s="2201">
        <f>+DA17+DB17</f>
        <v>0</v>
      </c>
      <c r="DA17" s="2202"/>
      <c r="DB17" s="2202"/>
      <c r="DC17" s="2201"/>
      <c r="DD17" s="2201">
        <f>+DE17+DF17</f>
        <v>0</v>
      </c>
      <c r="DE17" s="2202"/>
      <c r="DF17" s="2202"/>
      <c r="DG17" s="2201">
        <f>+DH17+DI17</f>
        <v>0</v>
      </c>
      <c r="DH17" s="2202"/>
      <c r="DI17" s="2202"/>
      <c r="DJ17" s="2201">
        <f>+DK17+DL17</f>
        <v>0</v>
      </c>
      <c r="DK17" s="2202"/>
      <c r="DL17" s="2202"/>
      <c r="DM17" s="2201"/>
      <c r="DN17" s="2201">
        <f>+DO17+DP17+DQ17</f>
        <v>0</v>
      </c>
      <c r="DO17" s="2202"/>
      <c r="DP17" s="2202"/>
      <c r="DQ17" s="2202"/>
      <c r="DR17" s="2201"/>
      <c r="DS17" s="2201"/>
      <c r="DT17" s="2201"/>
      <c r="DU17" s="2201"/>
      <c r="DV17" s="2201"/>
      <c r="DW17" s="2201"/>
      <c r="DX17" s="2201"/>
      <c r="DY17" s="2201"/>
      <c r="DZ17" s="2202"/>
      <c r="EA17" s="2202"/>
      <c r="EB17" s="2201"/>
      <c r="EC17" s="2201"/>
      <c r="ED17" s="2205"/>
      <c r="EE17" s="2206">
        <f>+L17+M17+N17+P17+R17+S17+T17+W17+X17+Y17+AA17+AB17+AC17+AF17+AG17+AH17+AI17+AL17+AO17+AR17+AS17+AT17+AU17+AX17+BG17+BM17+BP17+BS17+BV17+BY17+CB17+CC17+CF17+CG17+CJ17+CM17+CN17+CQ17+CT17+CW17+CZ17+DC17+DD17+DG17+DJ17+DM17+DN17+DR17+DS17+DT17+DU17+DV17+DX17+DY17+EB17+EC17+ED17-X17</f>
        <v>0</v>
      </c>
      <c r="EF17" s="2165">
        <f t="shared" ref="EF17:EF32" si="24">EE17-K17</f>
        <v>0</v>
      </c>
      <c r="EG17" s="2166"/>
      <c r="EH17" s="2207">
        <f>+T17+AI17+AL17++AO17+AU17+AX17+BG17+BM17+BP17+BS17+BV17+BY17+CC17+CG17+CJ17+CN17+CZ17+DD17+DG17+DJ17+DO17</f>
        <v>0</v>
      </c>
      <c r="EI17" s="2166">
        <f t="shared" si="7"/>
        <v>0</v>
      </c>
      <c r="EJ17" s="2207">
        <f t="shared" ref="EJ17:EJ33" si="25">+V17+AK17+AN17++AQ17+AW17+AZ17+BI17+BO17+BR17+BU17+BX17+CA17+CE17+CI17+CL17+CP17+DB17+DF17+DI17+DL17+DQ17</f>
        <v>0</v>
      </c>
      <c r="EL17" s="2208"/>
    </row>
    <row r="18" spans="1:142" ht="13.5" hidden="1" customHeight="1">
      <c r="A18" s="2225">
        <v>5132</v>
      </c>
      <c r="B18" s="2198" t="s">
        <v>72</v>
      </c>
      <c r="C18" s="2209">
        <v>0</v>
      </c>
      <c r="D18" s="2209">
        <v>0</v>
      </c>
      <c r="E18" s="2209">
        <v>0</v>
      </c>
      <c r="F18" s="2209">
        <v>0</v>
      </c>
      <c r="G18" s="2209">
        <v>0</v>
      </c>
      <c r="H18" s="2209">
        <v>0</v>
      </c>
      <c r="I18" s="2209">
        <v>0</v>
      </c>
      <c r="J18" s="2209">
        <v>0</v>
      </c>
      <c r="K18" s="2209">
        <f t="shared" si="23"/>
        <v>0</v>
      </c>
      <c r="L18" s="2210"/>
      <c r="M18" s="2211"/>
      <c r="N18" s="2211"/>
      <c r="O18" s="2211"/>
      <c r="P18" s="2211"/>
      <c r="Q18" s="2211"/>
      <c r="R18" s="2211"/>
      <c r="S18" s="2211"/>
      <c r="T18" s="2211">
        <f t="shared" ref="T18:T52" si="26">+U18+V18</f>
        <v>0</v>
      </c>
      <c r="U18" s="2212"/>
      <c r="V18" s="2213"/>
      <c r="W18" s="2211"/>
      <c r="X18" s="2227"/>
      <c r="Y18" s="2211"/>
      <c r="Z18" s="2211"/>
      <c r="AA18" s="2211"/>
      <c r="AB18" s="2211"/>
      <c r="AC18" s="2211"/>
      <c r="AD18" s="2211"/>
      <c r="AE18" s="2211"/>
      <c r="AF18" s="2211"/>
      <c r="AG18" s="2211"/>
      <c r="AH18" s="2211"/>
      <c r="AI18" s="2211">
        <f t="shared" ref="AI18:AI51" si="27">+AJ18+AK18</f>
        <v>0</v>
      </c>
      <c r="AJ18" s="2212"/>
      <c r="AK18" s="2212"/>
      <c r="AL18" s="2211">
        <f t="shared" ref="AL18:AL51" si="28">+AM18+AN18</f>
        <v>0</v>
      </c>
      <c r="AM18" s="2212"/>
      <c r="AN18" s="2212"/>
      <c r="AO18" s="2211">
        <f t="shared" ref="AO18:AO51" si="29">+AP18+AQ18</f>
        <v>0</v>
      </c>
      <c r="AP18" s="2212"/>
      <c r="AQ18" s="2212"/>
      <c r="AR18" s="2211"/>
      <c r="AS18" s="2211"/>
      <c r="AT18" s="2211"/>
      <c r="AU18" s="2211">
        <f t="shared" ref="AU18:AU51" si="30">+AV18+AW18</f>
        <v>0</v>
      </c>
      <c r="AV18" s="2212"/>
      <c r="AW18" s="2212"/>
      <c r="AX18" s="2211">
        <f t="shared" ref="AX18:AX51" si="31">+AY18+AZ18</f>
        <v>0</v>
      </c>
      <c r="AY18" s="2212"/>
      <c r="AZ18" s="2212"/>
      <c r="BA18" s="2211">
        <f t="shared" ref="BA18:BA22" si="32">+BB18+BC18</f>
        <v>0</v>
      </c>
      <c r="BB18" s="2212"/>
      <c r="BC18" s="2212"/>
      <c r="BD18" s="2211">
        <f t="shared" ref="BD18:BD22" si="33">+BE18+BF18</f>
        <v>0</v>
      </c>
      <c r="BE18" s="2212"/>
      <c r="BF18" s="2212"/>
      <c r="BG18" s="2211">
        <f t="shared" ref="BG18:BG51" si="34">+BH18+BI18</f>
        <v>0</v>
      </c>
      <c r="BH18" s="2212"/>
      <c r="BI18" s="2212"/>
      <c r="BJ18" s="2211">
        <f t="shared" ref="BJ18:BJ47" si="35">+BK18+BL18</f>
        <v>0</v>
      </c>
      <c r="BK18" s="2212"/>
      <c r="BL18" s="2212"/>
      <c r="BM18" s="2211">
        <f t="shared" ref="BM18:BM51" si="36">+BN18+BO18</f>
        <v>0</v>
      </c>
      <c r="BN18" s="2212"/>
      <c r="BO18" s="2212"/>
      <c r="BP18" s="2211">
        <f t="shared" ref="BP18:BP51" si="37">+BQ18+BR18</f>
        <v>0</v>
      </c>
      <c r="BQ18" s="2212"/>
      <c r="BR18" s="2212"/>
      <c r="BS18" s="2211">
        <f t="shared" ref="BS18:BS51" si="38">+BT18+BU18</f>
        <v>0</v>
      </c>
      <c r="BT18" s="2212"/>
      <c r="BU18" s="2212"/>
      <c r="BV18" s="2211">
        <f t="shared" ref="BV18:BV51" si="39">+BW18+BX18</f>
        <v>0</v>
      </c>
      <c r="BW18" s="2212"/>
      <c r="BX18" s="2212"/>
      <c r="BY18" s="2211">
        <f t="shared" ref="BY18:BY51" si="40">+BZ18+CA18</f>
        <v>0</v>
      </c>
      <c r="BZ18" s="2212"/>
      <c r="CA18" s="2212"/>
      <c r="CB18" s="2211"/>
      <c r="CC18" s="2211">
        <f t="shared" ref="CC18:CC51" si="41">+CD18+CE18</f>
        <v>0</v>
      </c>
      <c r="CD18" s="2212"/>
      <c r="CE18" s="2212"/>
      <c r="CF18" s="2211"/>
      <c r="CG18" s="2211">
        <f t="shared" ref="CG18:CG51" si="42">+CH18+CI18</f>
        <v>0</v>
      </c>
      <c r="CH18" s="2212"/>
      <c r="CI18" s="2212"/>
      <c r="CJ18" s="2211">
        <f t="shared" ref="CJ18:CJ51" si="43">+CK18+CL18</f>
        <v>0</v>
      </c>
      <c r="CK18" s="2212"/>
      <c r="CL18" s="2212"/>
      <c r="CM18" s="2211"/>
      <c r="CN18" s="2211">
        <f t="shared" ref="CN18:CN51" si="44">+CO18+CP18</f>
        <v>0</v>
      </c>
      <c r="CO18" s="2212"/>
      <c r="CP18" s="2212"/>
      <c r="CQ18" s="2211"/>
      <c r="CR18" s="2212"/>
      <c r="CS18" s="2212"/>
      <c r="CT18" s="2211"/>
      <c r="CU18" s="2212"/>
      <c r="CV18" s="2212"/>
      <c r="CW18" s="2211"/>
      <c r="CX18" s="2212"/>
      <c r="CY18" s="2212"/>
      <c r="CZ18" s="2211">
        <f t="shared" ref="CZ18:CZ51" si="45">+DA18+DB18</f>
        <v>0</v>
      </c>
      <c r="DA18" s="2212"/>
      <c r="DB18" s="2212"/>
      <c r="DC18" s="2211"/>
      <c r="DD18" s="2211">
        <f t="shared" ref="DD18:DD51" si="46">+DE18+DF18</f>
        <v>0</v>
      </c>
      <c r="DE18" s="2212"/>
      <c r="DF18" s="2212"/>
      <c r="DG18" s="2211">
        <f t="shared" ref="DG18:DG51" si="47">+DH18+DI18</f>
        <v>0</v>
      </c>
      <c r="DH18" s="2212"/>
      <c r="DI18" s="2212"/>
      <c r="DJ18" s="2211">
        <f t="shared" ref="DJ18:DJ51" si="48">+DK18+DL18</f>
        <v>0</v>
      </c>
      <c r="DK18" s="2212"/>
      <c r="DL18" s="2212"/>
      <c r="DM18" s="2211"/>
      <c r="DN18" s="2211">
        <f t="shared" ref="DN18:DN51" si="49">+DO18+DP18+DQ18</f>
        <v>0</v>
      </c>
      <c r="DO18" s="2212"/>
      <c r="DP18" s="2212"/>
      <c r="DQ18" s="2212"/>
      <c r="DR18" s="2211"/>
      <c r="DS18" s="2211"/>
      <c r="DT18" s="2211"/>
      <c r="DU18" s="2211"/>
      <c r="DV18" s="2211"/>
      <c r="DW18" s="2211"/>
      <c r="DX18" s="2211"/>
      <c r="DY18" s="2211"/>
      <c r="DZ18" s="2212"/>
      <c r="EA18" s="2212"/>
      <c r="EB18" s="2211"/>
      <c r="EC18" s="2211"/>
      <c r="ED18" s="2215"/>
      <c r="EE18" s="2206">
        <f t="shared" ref="EE18:EE76" si="50">+L18+M18+N18+P18+R18+S18+T18+W18+X18+Y18+AA18+AB18+AC18+AF18+AG18+AH18+AI18+AL18+AO18+AR18+AS18+AT18+AU18+AX18+BG18+BM18+BP18+BS18+BV18+BY18+CB18+CC18+CF18+CG18+CJ18+CM18+CN18+CQ18+CT18+CW18+CZ18+DC18+DD18+DG18+DJ18+DM18+DN18+DR18+DS18+DT18+DU18+DV18+DX18+DY18+EB18+EC18+ED18-X18</f>
        <v>0</v>
      </c>
      <c r="EF18" s="2165">
        <f t="shared" si="24"/>
        <v>0</v>
      </c>
      <c r="EG18" s="2166"/>
      <c r="EH18" s="2209">
        <f>+T18+AI18+AL18++AO18+AU18+AX18+BG18+BM18+BP18+BS18+BV18+BY18+CC18+CG18+CJ18+CN18+CZ18+DD18+DG18+DJ18+DO18</f>
        <v>0</v>
      </c>
      <c r="EI18" s="2166">
        <f t="shared" si="7"/>
        <v>0</v>
      </c>
      <c r="EJ18" s="2209">
        <f t="shared" si="25"/>
        <v>0</v>
      </c>
      <c r="EL18" s="2208"/>
    </row>
    <row r="19" spans="1:142" ht="13.5" customHeight="1" outlineLevel="1">
      <c r="A19" s="2225">
        <v>5134</v>
      </c>
      <c r="B19" s="2198" t="s">
        <v>73</v>
      </c>
      <c r="C19" s="2209">
        <v>195000</v>
      </c>
      <c r="D19" s="2209">
        <v>395000</v>
      </c>
      <c r="E19" s="2209">
        <v>395000</v>
      </c>
      <c r="F19" s="2209">
        <v>395000</v>
      </c>
      <c r="G19" s="2209">
        <v>395000</v>
      </c>
      <c r="H19" s="2209">
        <v>395000</v>
      </c>
      <c r="I19" s="2209">
        <v>395000</v>
      </c>
      <c r="J19" s="2209">
        <v>395000</v>
      </c>
      <c r="K19" s="2209">
        <f t="shared" ref="K19:K53" si="51">SUM(L19:T19)+SUM(Y19:AI19)+AL19+AO19+SUM(AR19:AU19)+AX19+BG19+BM19+BP19+BS19+BV19+BY19+CB19+CC19+CF19+CG19+CJ19+SUM(CM19:CN19)+CW19+CZ19+DC19+DD19+DG19+DJ19+DM19+DN19+SUM(DR19:DY19)+CQ19+CT19+SUM(EB19:ED19)+W19+BA19+BD19+BJ19</f>
        <v>232000</v>
      </c>
      <c r="L19" s="2210"/>
      <c r="M19" s="2211"/>
      <c r="N19" s="2211"/>
      <c r="O19" s="2211"/>
      <c r="P19" s="2211"/>
      <c r="Q19" s="2211"/>
      <c r="R19" s="2211"/>
      <c r="S19" s="2211"/>
      <c r="T19" s="2211">
        <f t="shared" si="26"/>
        <v>0</v>
      </c>
      <c r="U19" s="2212"/>
      <c r="V19" s="2213"/>
      <c r="W19" s="2211"/>
      <c r="X19" s="2227">
        <f t="shared" ref="X19:X21" si="52">+V19+AW19+CL19+CI19+CE19+DQ19+AK19+AQ19+AZ19+BI19+BO19+BR19+BU19+BX19+CA19+CP19+DB19+DF19+DI19+DL19+AN19+EA19</f>
        <v>0</v>
      </c>
      <c r="Y19" s="2211">
        <f>+'[2]Pečovatelská služba'!$B$4</f>
        <v>20000</v>
      </c>
      <c r="Z19" s="2211"/>
      <c r="AA19" s="2211"/>
      <c r="AB19" s="2211">
        <f>+'[2]Městská policie'!$B$4</f>
        <v>112000</v>
      </c>
      <c r="AC19" s="2211"/>
      <c r="AD19" s="2211"/>
      <c r="AE19" s="2211"/>
      <c r="AF19" s="2211"/>
      <c r="AG19" s="2211"/>
      <c r="AH19" s="2211"/>
      <c r="AI19" s="2211">
        <f t="shared" si="27"/>
        <v>0</v>
      </c>
      <c r="AJ19" s="2212"/>
      <c r="AK19" s="2212"/>
      <c r="AL19" s="2211">
        <f t="shared" si="28"/>
        <v>0</v>
      </c>
      <c r="AM19" s="2212"/>
      <c r="AN19" s="2212"/>
      <c r="AO19" s="2211">
        <f t="shared" si="29"/>
        <v>0</v>
      </c>
      <c r="AP19" s="2212"/>
      <c r="AQ19" s="2212"/>
      <c r="AR19" s="2228">
        <f>+[2]Hasiči!$B$4</f>
        <v>100000</v>
      </c>
      <c r="AS19" s="2211"/>
      <c r="AT19" s="2211"/>
      <c r="AU19" s="2211">
        <f t="shared" si="30"/>
        <v>0</v>
      </c>
      <c r="AV19" s="2212"/>
      <c r="AW19" s="2212"/>
      <c r="AX19" s="2211">
        <f t="shared" si="31"/>
        <v>0</v>
      </c>
      <c r="AY19" s="2212"/>
      <c r="AZ19" s="2212"/>
      <c r="BA19" s="2211">
        <f t="shared" si="32"/>
        <v>0</v>
      </c>
      <c r="BB19" s="2212"/>
      <c r="BC19" s="2212"/>
      <c r="BD19" s="2211">
        <f t="shared" si="33"/>
        <v>0</v>
      </c>
      <c r="BE19" s="2212"/>
      <c r="BF19" s="2212"/>
      <c r="BG19" s="2211">
        <f t="shared" si="34"/>
        <v>0</v>
      </c>
      <c r="BH19" s="2212"/>
      <c r="BI19" s="2212"/>
      <c r="BJ19" s="2211">
        <f t="shared" si="35"/>
        <v>0</v>
      </c>
      <c r="BK19" s="2212"/>
      <c r="BL19" s="2212"/>
      <c r="BM19" s="2211">
        <f t="shared" si="36"/>
        <v>0</v>
      </c>
      <c r="BN19" s="2212"/>
      <c r="BO19" s="2212"/>
      <c r="BP19" s="2211">
        <f t="shared" si="37"/>
        <v>0</v>
      </c>
      <c r="BQ19" s="2212"/>
      <c r="BR19" s="2212"/>
      <c r="BS19" s="2211">
        <f t="shared" si="38"/>
        <v>0</v>
      </c>
      <c r="BT19" s="2212"/>
      <c r="BU19" s="2212"/>
      <c r="BV19" s="2211">
        <f t="shared" si="39"/>
        <v>0</v>
      </c>
      <c r="BW19" s="2212"/>
      <c r="BX19" s="2212"/>
      <c r="BY19" s="2211">
        <f t="shared" si="40"/>
        <v>0</v>
      </c>
      <c r="BZ19" s="2212"/>
      <c r="CA19" s="2212"/>
      <c r="CB19" s="2211"/>
      <c r="CC19" s="2211">
        <f t="shared" si="41"/>
        <v>0</v>
      </c>
      <c r="CD19" s="2212"/>
      <c r="CE19" s="2212"/>
      <c r="CF19" s="2211"/>
      <c r="CG19" s="2211">
        <f t="shared" si="42"/>
        <v>0</v>
      </c>
      <c r="CH19" s="2212"/>
      <c r="CI19" s="2212"/>
      <c r="CJ19" s="2211">
        <f t="shared" si="43"/>
        <v>0</v>
      </c>
      <c r="CK19" s="2212"/>
      <c r="CL19" s="2212"/>
      <c r="CM19" s="2211"/>
      <c r="CN19" s="2211">
        <f t="shared" si="44"/>
        <v>0</v>
      </c>
      <c r="CO19" s="2212"/>
      <c r="CP19" s="2212"/>
      <c r="CQ19" s="2211"/>
      <c r="CR19" s="2212"/>
      <c r="CS19" s="2212"/>
      <c r="CT19" s="2211"/>
      <c r="CU19" s="2212"/>
      <c r="CV19" s="2212"/>
      <c r="CW19" s="2211"/>
      <c r="CX19" s="2212"/>
      <c r="CY19" s="2212"/>
      <c r="CZ19" s="2211">
        <f t="shared" si="45"/>
        <v>0</v>
      </c>
      <c r="DA19" s="2212"/>
      <c r="DB19" s="2212"/>
      <c r="DC19" s="2211"/>
      <c r="DD19" s="2211">
        <f t="shared" si="46"/>
        <v>0</v>
      </c>
      <c r="DE19" s="2212"/>
      <c r="DF19" s="2212"/>
      <c r="DG19" s="2211">
        <f t="shared" si="47"/>
        <v>0</v>
      </c>
      <c r="DH19" s="2212"/>
      <c r="DI19" s="2212"/>
      <c r="DJ19" s="2211">
        <f t="shared" si="48"/>
        <v>0</v>
      </c>
      <c r="DK19" s="2212"/>
      <c r="DL19" s="2212"/>
      <c r="DM19" s="2211"/>
      <c r="DN19" s="2211">
        <f t="shared" si="49"/>
        <v>0</v>
      </c>
      <c r="DP19" s="2212"/>
      <c r="DQ19" s="2212"/>
      <c r="DR19" s="2211"/>
      <c r="DS19" s="2211"/>
      <c r="DT19" s="2211"/>
      <c r="DU19" s="2211"/>
      <c r="DV19" s="2211"/>
      <c r="DW19" s="2211"/>
      <c r="DX19" s="2211"/>
      <c r="DY19" s="2211"/>
      <c r="DZ19" s="2212"/>
      <c r="EA19" s="2212"/>
      <c r="EB19" s="2211"/>
      <c r="EC19" s="2211"/>
      <c r="ED19" s="2215"/>
      <c r="EE19" s="2206">
        <f t="shared" ref="EE19:EE33" si="53">+L19+M19+N19+P19+R19+S19+T19+W19+X19+Y19+AA19+AB19+AC19+AF19+AG19+AH19+AI19+AL19+AO19+AR19+AS19+AT19+AU19+AX19+BG19+BM19+BP19+BS19+BV19+BY19+CB19+CC19+CF19+CG19+CJ19+CM19+CN19+CQ19+CT19+CW19+CZ19+DC19+DD19+DG19+DJ19+DM19+DN19+DR19+DS19+DT19+DU19+DV19+DX19+DY19+EB19+EC19+ED19+BJ19+BD19+BA19+AD19-X19+O19+Q19+Z19</f>
        <v>232000</v>
      </c>
      <c r="EF19" s="2165">
        <f t="shared" si="24"/>
        <v>0</v>
      </c>
      <c r="EG19" s="2166"/>
      <c r="EH19" s="2209">
        <f t="shared" ref="EH19:EH52" si="54">+K19-EJ19</f>
        <v>232000</v>
      </c>
      <c r="EI19" s="2166">
        <f t="shared" si="7"/>
        <v>0</v>
      </c>
      <c r="EJ19" s="2209">
        <f t="shared" si="25"/>
        <v>0</v>
      </c>
      <c r="EL19" s="2208"/>
    </row>
    <row r="20" spans="1:142" ht="13.5" customHeight="1" outlineLevel="1">
      <c r="A20" s="2225">
        <v>5136</v>
      </c>
      <c r="B20" s="2198" t="s">
        <v>74</v>
      </c>
      <c r="C20" s="2209">
        <v>313000</v>
      </c>
      <c r="D20" s="2209">
        <v>363000</v>
      </c>
      <c r="E20" s="2209">
        <v>363000</v>
      </c>
      <c r="F20" s="2209">
        <v>363000</v>
      </c>
      <c r="G20" s="2209">
        <v>363000</v>
      </c>
      <c r="H20" s="2209">
        <v>363000</v>
      </c>
      <c r="I20" s="2209">
        <v>363000</v>
      </c>
      <c r="J20" s="2209">
        <v>363000</v>
      </c>
      <c r="K20" s="2209">
        <f t="shared" si="51"/>
        <v>315000</v>
      </c>
      <c r="L20" s="2210"/>
      <c r="M20" s="2211"/>
      <c r="N20" s="2211"/>
      <c r="O20" s="2211"/>
      <c r="P20" s="2211"/>
      <c r="Q20" s="2211"/>
      <c r="R20" s="2211">
        <f>+[2]Zastupitelé!$B$4</f>
        <v>0</v>
      </c>
      <c r="S20" s="2211"/>
      <c r="T20" s="2211">
        <f t="shared" si="26"/>
        <v>15000</v>
      </c>
      <c r="U20" s="2212">
        <f>+[2]Správa!$D$4</f>
        <v>15000</v>
      </c>
      <c r="V20" s="2213">
        <f>+[2]Správa!$E$4</f>
        <v>0</v>
      </c>
      <c r="W20" s="2211"/>
      <c r="X20" s="2227">
        <f t="shared" si="52"/>
        <v>0</v>
      </c>
      <c r="Y20" s="2211"/>
      <c r="Z20" s="2211"/>
      <c r="AA20" s="2211"/>
      <c r="AB20" s="2211">
        <f>+'[2]Městská policie'!$B$11</f>
        <v>0</v>
      </c>
      <c r="AC20" s="2211">
        <f>+[2]Kronika!$B$4</f>
        <v>0</v>
      </c>
      <c r="AD20" s="2211"/>
      <c r="AE20" s="2211"/>
      <c r="AF20" s="2211">
        <f>+[2]Knihovna!$B$4</f>
        <v>300000</v>
      </c>
      <c r="AG20" s="2211"/>
      <c r="AH20" s="2211"/>
      <c r="AI20" s="2211">
        <f t="shared" si="27"/>
        <v>0</v>
      </c>
      <c r="AJ20" s="2212"/>
      <c r="AK20" s="2212"/>
      <c r="AL20" s="2211">
        <f t="shared" si="28"/>
        <v>0</v>
      </c>
      <c r="AM20" s="2212"/>
      <c r="AN20" s="2212"/>
      <c r="AO20" s="2211">
        <f t="shared" si="29"/>
        <v>0</v>
      </c>
      <c r="AP20" s="2212"/>
      <c r="AQ20" s="2212"/>
      <c r="AR20" s="2211"/>
      <c r="AS20" s="2211"/>
      <c r="AT20" s="2211"/>
      <c r="AU20" s="2211">
        <f t="shared" si="30"/>
        <v>0</v>
      </c>
      <c r="AV20" s="2212"/>
      <c r="AW20" s="2212"/>
      <c r="AX20" s="2211">
        <f t="shared" si="31"/>
        <v>0</v>
      </c>
      <c r="AY20" s="2212"/>
      <c r="AZ20" s="2212"/>
      <c r="BA20" s="2211">
        <f t="shared" si="32"/>
        <v>0</v>
      </c>
      <c r="BB20" s="2212"/>
      <c r="BC20" s="2212"/>
      <c r="BD20" s="2211">
        <f t="shared" si="33"/>
        <v>0</v>
      </c>
      <c r="BE20" s="2212"/>
      <c r="BF20" s="2212"/>
      <c r="BG20" s="2211">
        <f t="shared" si="34"/>
        <v>0</v>
      </c>
      <c r="BH20" s="2212"/>
      <c r="BI20" s="2212"/>
      <c r="BJ20" s="2211">
        <f t="shared" si="35"/>
        <v>0</v>
      </c>
      <c r="BK20" s="2212"/>
      <c r="BL20" s="2212"/>
      <c r="BM20" s="2211">
        <f t="shared" si="36"/>
        <v>0</v>
      </c>
      <c r="BN20" s="2212"/>
      <c r="BO20" s="2212"/>
      <c r="BP20" s="2211">
        <f t="shared" si="37"/>
        <v>0</v>
      </c>
      <c r="BQ20" s="2212"/>
      <c r="BR20" s="2212"/>
      <c r="BS20" s="2211">
        <f t="shared" si="38"/>
        <v>0</v>
      </c>
      <c r="BT20" s="2212"/>
      <c r="BU20" s="2212"/>
      <c r="BV20" s="2211">
        <f t="shared" si="39"/>
        <v>0</v>
      </c>
      <c r="BW20" s="2212"/>
      <c r="BX20" s="2212"/>
      <c r="BY20" s="2211">
        <f t="shared" si="40"/>
        <v>0</v>
      </c>
      <c r="BZ20" s="2212"/>
      <c r="CA20" s="2212"/>
      <c r="CB20" s="2211"/>
      <c r="CC20" s="2211">
        <f t="shared" si="41"/>
        <v>0</v>
      </c>
      <c r="CD20" s="2212"/>
      <c r="CE20" s="2212"/>
      <c r="CF20" s="2211"/>
      <c r="CG20" s="2211">
        <f t="shared" si="42"/>
        <v>0</v>
      </c>
      <c r="CH20" s="2212"/>
      <c r="CI20" s="2212"/>
      <c r="CJ20" s="2211">
        <f t="shared" si="43"/>
        <v>0</v>
      </c>
      <c r="CK20" s="2212"/>
      <c r="CL20" s="2212"/>
      <c r="CM20" s="2211"/>
      <c r="CN20" s="2211">
        <f t="shared" si="44"/>
        <v>0</v>
      </c>
      <c r="CO20" s="2212"/>
      <c r="CP20" s="2212"/>
      <c r="CQ20" s="2211"/>
      <c r="CR20" s="2212"/>
      <c r="CS20" s="2212"/>
      <c r="CT20" s="2211"/>
      <c r="CU20" s="2212"/>
      <c r="CV20" s="2212"/>
      <c r="CW20" s="2211"/>
      <c r="CX20" s="2212"/>
      <c r="CY20" s="2212"/>
      <c r="CZ20" s="2211">
        <f t="shared" si="45"/>
        <v>0</v>
      </c>
      <c r="DA20" s="2212"/>
      <c r="DB20" s="2212"/>
      <c r="DC20" s="2211"/>
      <c r="DD20" s="2211">
        <f t="shared" si="46"/>
        <v>0</v>
      </c>
      <c r="DE20" s="2212"/>
      <c r="DF20" s="2212"/>
      <c r="DG20" s="2211">
        <f t="shared" si="47"/>
        <v>0</v>
      </c>
      <c r="DH20" s="2212"/>
      <c r="DI20" s="2212"/>
      <c r="DJ20" s="2211">
        <f t="shared" si="48"/>
        <v>0</v>
      </c>
      <c r="DK20" s="2212"/>
      <c r="DL20" s="2212"/>
      <c r="DM20" s="2211"/>
      <c r="DN20" s="2211">
        <f t="shared" si="49"/>
        <v>0</v>
      </c>
      <c r="DO20" s="2212"/>
      <c r="DP20" s="2212"/>
      <c r="DQ20" s="2212"/>
      <c r="DR20" s="2211"/>
      <c r="DS20" s="2211"/>
      <c r="DT20" s="2211"/>
      <c r="DU20" s="2211"/>
      <c r="DV20" s="2211"/>
      <c r="DW20" s="2211"/>
      <c r="DX20" s="2211"/>
      <c r="DY20" s="2211"/>
      <c r="DZ20" s="2212"/>
      <c r="EA20" s="2212"/>
      <c r="EB20" s="2211"/>
      <c r="EC20" s="2211"/>
      <c r="ED20" s="2215"/>
      <c r="EE20" s="2206">
        <f t="shared" si="53"/>
        <v>315000</v>
      </c>
      <c r="EF20" s="2165">
        <f t="shared" si="24"/>
        <v>0</v>
      </c>
      <c r="EG20" s="2166"/>
      <c r="EH20" s="2209">
        <f t="shared" si="54"/>
        <v>315000</v>
      </c>
      <c r="EI20" s="2166">
        <f t="shared" si="7"/>
        <v>0</v>
      </c>
      <c r="EJ20" s="2209">
        <f t="shared" si="25"/>
        <v>0</v>
      </c>
      <c r="EL20" s="2208"/>
    </row>
    <row r="21" spans="1:142" ht="13.5" customHeight="1" outlineLevel="1">
      <c r="A21" s="2225">
        <v>5137</v>
      </c>
      <c r="B21" s="2198" t="s">
        <v>75</v>
      </c>
      <c r="C21" s="2209">
        <v>2110000</v>
      </c>
      <c r="D21" s="2209">
        <v>2317000</v>
      </c>
      <c r="E21" s="2209">
        <v>2317000</v>
      </c>
      <c r="F21" s="2209">
        <v>2317000</v>
      </c>
      <c r="G21" s="2209">
        <v>2317000</v>
      </c>
      <c r="H21" s="2209">
        <v>2317000</v>
      </c>
      <c r="I21" s="2209">
        <v>2317000</v>
      </c>
      <c r="J21" s="2209">
        <v>2107000</v>
      </c>
      <c r="K21" s="2209">
        <f t="shared" si="51"/>
        <v>1326000</v>
      </c>
      <c r="L21" s="2210"/>
      <c r="M21" s="2211"/>
      <c r="N21" s="2211"/>
      <c r="O21" s="2211"/>
      <c r="P21" s="2211"/>
      <c r="Q21" s="2211"/>
      <c r="R21" s="2211">
        <f>+[2]Zastupitelé!$B$10</f>
        <v>0</v>
      </c>
      <c r="S21" s="2211"/>
      <c r="T21" s="2211">
        <f t="shared" si="26"/>
        <v>150000</v>
      </c>
      <c r="U21" s="2212">
        <f>+[2]Správa!$D$11</f>
        <v>150000</v>
      </c>
      <c r="V21" s="2213">
        <f>+[2]Správa!$E$11</f>
        <v>0</v>
      </c>
      <c r="W21" s="2211"/>
      <c r="X21" s="2227">
        <f t="shared" si="52"/>
        <v>0</v>
      </c>
      <c r="Y21" s="2211">
        <f>+'[2]Pečovatelská služba'!$B$11</f>
        <v>50000</v>
      </c>
      <c r="Z21" s="2211"/>
      <c r="AA21" s="2211"/>
      <c r="AB21" s="2211">
        <f>+'[2]Městská policie'!$B$18</f>
        <v>254000</v>
      </c>
      <c r="AC21" s="2211"/>
      <c r="AD21" s="2211">
        <f>+'[3]Hotel Budka'!$B$4</f>
        <v>0</v>
      </c>
      <c r="AE21" s="2211"/>
      <c r="AF21" s="2211">
        <f>+[2]Knihovna!$B$11+[3]Knihovna!$B$4</f>
        <v>100000</v>
      </c>
      <c r="AG21" s="2211"/>
      <c r="AH21" s="2211">
        <f>+[2]Kultura!$B$4</f>
        <v>121000</v>
      </c>
      <c r="AI21" s="2211">
        <f t="shared" si="27"/>
        <v>100000</v>
      </c>
      <c r="AJ21" s="2212">
        <f>+[3]Byty!$D$4</f>
        <v>100000</v>
      </c>
      <c r="AK21" s="2212">
        <f>+[3]Byty!$E$4</f>
        <v>0</v>
      </c>
      <c r="AL21" s="2211">
        <f t="shared" si="28"/>
        <v>90000</v>
      </c>
      <c r="AM21" s="2212">
        <f>+[3]DPS!$D$4</f>
        <v>90000</v>
      </c>
      <c r="AN21" s="2212">
        <f>+[3]DPS!$E$4</f>
        <v>0</v>
      </c>
      <c r="AO21" s="2211">
        <f t="shared" si="29"/>
        <v>0</v>
      </c>
      <c r="AP21" s="2212"/>
      <c r="AQ21" s="2212"/>
      <c r="AR21" s="2211">
        <f>+[2]Hasiči!$B$11</f>
        <v>150000</v>
      </c>
      <c r="AS21" s="2211"/>
      <c r="AT21" s="2211"/>
      <c r="AU21" s="2211">
        <f t="shared" si="30"/>
        <v>0</v>
      </c>
      <c r="AV21" s="2212"/>
      <c r="AW21" s="2212"/>
      <c r="AX21" s="2211">
        <f t="shared" si="31"/>
        <v>30000</v>
      </c>
      <c r="AY21" s="2212">
        <f>+[3]koupaliště!$D$4</f>
        <v>30000</v>
      </c>
      <c r="AZ21" s="2212">
        <f>+[3]koupaliště!$E$4</f>
        <v>0</v>
      </c>
      <c r="BA21" s="2211">
        <f t="shared" si="32"/>
        <v>0</v>
      </c>
      <c r="BB21" s="2212"/>
      <c r="BC21" s="2212"/>
      <c r="BD21" s="2211">
        <f t="shared" si="33"/>
        <v>0</v>
      </c>
      <c r="BE21" s="2212"/>
      <c r="BF21" s="2212"/>
      <c r="BG21" s="2211">
        <f t="shared" si="34"/>
        <v>0</v>
      </c>
      <c r="BH21" s="2212"/>
      <c r="BI21" s="2212"/>
      <c r="BJ21" s="2211">
        <f t="shared" si="35"/>
        <v>0</v>
      </c>
      <c r="BK21" s="2212"/>
      <c r="BL21" s="2212"/>
      <c r="BM21" s="2211">
        <f t="shared" si="36"/>
        <v>81000</v>
      </c>
      <c r="BN21" s="2212">
        <f>+[2]č.p.65!$D$4</f>
        <v>81000</v>
      </c>
      <c r="BO21" s="2212">
        <v>0</v>
      </c>
      <c r="BP21" s="2211">
        <f t="shared" si="37"/>
        <v>0</v>
      </c>
      <c r="BQ21" s="2212"/>
      <c r="BR21" s="2212"/>
      <c r="BS21" s="2211">
        <f t="shared" si="38"/>
        <v>0</v>
      </c>
      <c r="BT21" s="2212"/>
      <c r="BU21" s="2212"/>
      <c r="BV21" s="2211">
        <f t="shared" si="39"/>
        <v>0</v>
      </c>
      <c r="BW21" s="2212"/>
      <c r="BX21" s="2212"/>
      <c r="BY21" s="2211">
        <f t="shared" si="40"/>
        <v>0</v>
      </c>
      <c r="BZ21" s="2212"/>
      <c r="CA21" s="2212"/>
      <c r="CB21" s="2211"/>
      <c r="CC21" s="2211">
        <f t="shared" si="41"/>
        <v>0</v>
      </c>
      <c r="CD21" s="2212"/>
      <c r="CE21" s="2212"/>
      <c r="CF21" s="2211"/>
      <c r="CG21" s="2211">
        <f t="shared" si="42"/>
        <v>0</v>
      </c>
      <c r="CH21" s="2212"/>
      <c r="CI21" s="2212"/>
      <c r="CJ21" s="2211">
        <f t="shared" si="43"/>
        <v>200000</v>
      </c>
      <c r="CK21" s="2230">
        <f>+[3]Silnice!$D$4</f>
        <v>200000</v>
      </c>
      <c r="CL21" s="2212">
        <f>+[3]Silnice!$E$4</f>
        <v>0</v>
      </c>
      <c r="CM21" s="2211"/>
      <c r="CN21" s="2211">
        <f t="shared" si="44"/>
        <v>0</v>
      </c>
      <c r="CO21" s="2212"/>
      <c r="CP21" s="2212"/>
      <c r="CQ21" s="2211"/>
      <c r="CR21" s="2212"/>
      <c r="CS21" s="2212"/>
      <c r="CT21" s="2211"/>
      <c r="CU21" s="2212"/>
      <c r="CV21" s="2212"/>
      <c r="CW21" s="2211"/>
      <c r="CX21" s="2212"/>
      <c r="CY21" s="2212"/>
      <c r="CZ21" s="2211">
        <f t="shared" si="45"/>
        <v>0</v>
      </c>
      <c r="DA21" s="2212"/>
      <c r="DB21" s="2212"/>
      <c r="DC21" s="2211"/>
      <c r="DD21" s="2211">
        <f t="shared" si="46"/>
        <v>0</v>
      </c>
      <c r="DE21" s="2212"/>
      <c r="DF21" s="2212"/>
      <c r="DG21" s="2211">
        <f t="shared" si="47"/>
        <v>0</v>
      </c>
      <c r="DH21" s="2212"/>
      <c r="DI21" s="2212"/>
      <c r="DJ21" s="2211">
        <f t="shared" si="48"/>
        <v>0</v>
      </c>
      <c r="DK21" s="2212"/>
      <c r="DL21" s="2212"/>
      <c r="DM21" s="2211"/>
      <c r="DN21" s="2211">
        <f t="shared" si="49"/>
        <v>0</v>
      </c>
      <c r="DO21" s="2212"/>
      <c r="DP21" s="2212"/>
      <c r="DQ21" s="2212"/>
      <c r="DR21" s="2211"/>
      <c r="DS21" s="2211"/>
      <c r="DT21" s="2211"/>
      <c r="DU21" s="2211"/>
      <c r="DV21" s="2211"/>
      <c r="DW21" s="2211"/>
      <c r="DX21" s="2211"/>
      <c r="DY21" s="2211"/>
      <c r="DZ21" s="2212"/>
      <c r="EA21" s="2212"/>
      <c r="EB21" s="2211"/>
      <c r="EC21" s="2211"/>
      <c r="ED21" s="2215"/>
      <c r="EE21" s="2206">
        <f t="shared" si="53"/>
        <v>1326000</v>
      </c>
      <c r="EF21" s="2165">
        <f t="shared" si="24"/>
        <v>0</v>
      </c>
      <c r="EG21" s="2166"/>
      <c r="EH21" s="2209">
        <f t="shared" si="54"/>
        <v>1326000</v>
      </c>
      <c r="EI21" s="2166">
        <f t="shared" si="7"/>
        <v>0</v>
      </c>
      <c r="EJ21" s="2209">
        <f t="shared" si="25"/>
        <v>0</v>
      </c>
      <c r="EL21" s="2208"/>
    </row>
    <row r="22" spans="1:142" ht="13.5" customHeight="1" outlineLevel="1">
      <c r="A22" s="2225">
        <v>5139</v>
      </c>
      <c r="B22" s="2198" t="s">
        <v>76</v>
      </c>
      <c r="C22" s="2209">
        <v>2119000</v>
      </c>
      <c r="D22" s="2209">
        <v>3866000</v>
      </c>
      <c r="E22" s="2209">
        <v>3866000</v>
      </c>
      <c r="F22" s="2209">
        <v>3866000</v>
      </c>
      <c r="G22" s="2209">
        <v>3866000</v>
      </c>
      <c r="H22" s="2209">
        <v>3866000</v>
      </c>
      <c r="I22" s="2209">
        <v>3866000</v>
      </c>
      <c r="J22" s="2209">
        <v>3846000</v>
      </c>
      <c r="K22" s="2209">
        <f>SUM(L22:T22)+SUM(Y22:AI22)+AL22+AO22+SUM(AR22:AU22)+AX22+BG22+BM22+BP22+BS22+BV22+BY22+CB22+CC22+CF22+CG22+CJ22+SUM(CM22:CN22)+CW22+CZ22+DC22+DD22+DG22+DJ22+DM22+DN22+SUM(DR22:DY22)+CQ22+CT22+SUM(EB22:ED22)+W22+BA22+BD22+BJ22</f>
        <v>2006000</v>
      </c>
      <c r="L22" s="2210"/>
      <c r="M22" s="2211"/>
      <c r="N22" s="2211"/>
      <c r="O22" s="2211"/>
      <c r="P22" s="2211"/>
      <c r="Q22" s="2211"/>
      <c r="R22" s="2211">
        <f>+[2]Zastupitelé!$B$17</f>
        <v>52000</v>
      </c>
      <c r="S22" s="2211"/>
      <c r="T22" s="2211">
        <f t="shared" si="26"/>
        <v>740000</v>
      </c>
      <c r="U22" s="2212">
        <f>+[2]Správa!$D$18</f>
        <v>670000</v>
      </c>
      <c r="V22" s="2213">
        <f>+[2]Správa!$E$18</f>
        <v>70000</v>
      </c>
      <c r="W22" s="2211"/>
      <c r="X22" s="2231">
        <f>+V22+AW22+CL22+CI22+CE22+DQ22+AK22+AQ22+AZ22+BI22+BO22+BR22+BU22+BX22+CA22+CP22+DB22+DF22+DI22+DL22+AN22+EA22</f>
        <v>90000</v>
      </c>
      <c r="Y22" s="2211">
        <f>+'[2]Pečovatelská služba'!$B$18</f>
        <v>22000</v>
      </c>
      <c r="Z22" s="2211"/>
      <c r="AA22" s="2211"/>
      <c r="AB22" s="2211">
        <f>+'[2]Městská policie'!$B$28</f>
        <v>82000</v>
      </c>
      <c r="AC22" s="2211">
        <f>+[2]Kronika!$B$11</f>
        <v>1000</v>
      </c>
      <c r="AD22" s="2211">
        <f>+'[3]Hotel Budka'!$B$11</f>
        <v>0</v>
      </c>
      <c r="AE22" s="2211"/>
      <c r="AF22" s="2211">
        <f>+[2]Knihovna!$B$19+[3]Knihovna!$B$12</f>
        <v>60000</v>
      </c>
      <c r="AG22" s="2211"/>
      <c r="AH22" s="2211">
        <f>+[2]Kultura!$B$13</f>
        <v>25000</v>
      </c>
      <c r="AI22" s="2211">
        <f t="shared" si="27"/>
        <v>10000</v>
      </c>
      <c r="AJ22" s="2212">
        <f>+[3]Byty!$D$11</f>
        <v>10000</v>
      </c>
      <c r="AK22" s="2212">
        <f>+[3]Byty!$E$11</f>
        <v>0</v>
      </c>
      <c r="AL22" s="2211">
        <f t="shared" si="28"/>
        <v>16000</v>
      </c>
      <c r="AM22" s="2212">
        <f>+[3]DPS!$D$12</f>
        <v>16000</v>
      </c>
      <c r="AN22" s="2212">
        <f>+[3]DPS!$E$12</f>
        <v>0</v>
      </c>
      <c r="AO22" s="2211">
        <f t="shared" si="29"/>
        <v>0</v>
      </c>
      <c r="AP22" s="2212"/>
      <c r="AQ22" s="2212"/>
      <c r="AR22" s="2211">
        <f>+[2]Hasiči!$B$19+[3]Hasiči!$B$4</f>
        <v>65000</v>
      </c>
      <c r="AS22" s="2211"/>
      <c r="AT22" s="2211"/>
      <c r="AU22" s="2211">
        <f t="shared" ref="AU22" si="55">+AV22+AW22</f>
        <v>20000</v>
      </c>
      <c r="AV22" s="2212">
        <f>+[3]Hřbitov!$D$4</f>
        <v>0</v>
      </c>
      <c r="AW22" s="2212">
        <f>+[3]Hřbitov!$E$4</f>
        <v>20000</v>
      </c>
      <c r="AX22" s="2211">
        <f t="shared" si="31"/>
        <v>0</v>
      </c>
      <c r="AY22" s="2212"/>
      <c r="AZ22" s="2212"/>
      <c r="BA22" s="2211">
        <f t="shared" si="32"/>
        <v>0</v>
      </c>
      <c r="BB22" s="2212"/>
      <c r="BC22" s="2212"/>
      <c r="BD22" s="2211">
        <f t="shared" si="33"/>
        <v>0</v>
      </c>
      <c r="BE22" s="2212"/>
      <c r="BF22" s="2212"/>
      <c r="BG22" s="2211">
        <f t="shared" si="34"/>
        <v>0</v>
      </c>
      <c r="BH22" s="2212"/>
      <c r="BI22" s="2212"/>
      <c r="BJ22" s="2211">
        <f t="shared" si="35"/>
        <v>0</v>
      </c>
      <c r="BK22" s="2212"/>
      <c r="BL22" s="2212"/>
      <c r="BM22" s="2211">
        <f t="shared" si="36"/>
        <v>30000</v>
      </c>
      <c r="BN22" s="2212">
        <f>+[2]č.p.65!$D$11</f>
        <v>30000</v>
      </c>
      <c r="BO22" s="2212">
        <v>0</v>
      </c>
      <c r="BP22" s="2211">
        <f t="shared" si="37"/>
        <v>0</v>
      </c>
      <c r="BQ22" s="2212"/>
      <c r="BR22" s="2212"/>
      <c r="BS22" s="2211">
        <f t="shared" si="38"/>
        <v>0</v>
      </c>
      <c r="BT22" s="2212"/>
      <c r="BU22" s="2212"/>
      <c r="BV22" s="2211">
        <f t="shared" si="39"/>
        <v>0</v>
      </c>
      <c r="BW22" s="2212"/>
      <c r="BX22" s="2212"/>
      <c r="BY22" s="2211">
        <f t="shared" si="40"/>
        <v>0</v>
      </c>
      <c r="BZ22" s="2212"/>
      <c r="CA22" s="2212"/>
      <c r="CB22" s="2211"/>
      <c r="CC22" s="2211">
        <f t="shared" si="41"/>
        <v>0</v>
      </c>
      <c r="CD22" s="2212"/>
      <c r="CE22" s="2212"/>
      <c r="CF22" s="2211"/>
      <c r="CG22" s="2211">
        <f t="shared" si="42"/>
        <v>150000</v>
      </c>
      <c r="CH22" s="2212">
        <f>+[3]VO!$D$4</f>
        <v>150000</v>
      </c>
      <c r="CI22" s="2212">
        <f>+[3]VO!$E$4</f>
        <v>0</v>
      </c>
      <c r="CJ22" s="2211">
        <f t="shared" si="43"/>
        <v>720000</v>
      </c>
      <c r="CK22" s="2212">
        <f>+'[4]Silnice nákup materiálu'!$D$3</f>
        <v>720000</v>
      </c>
      <c r="CL22" s="2212">
        <f>+'[4]Silnice nákup materiálu'!$E$3</f>
        <v>0</v>
      </c>
      <c r="CM22" s="2211"/>
      <c r="CN22" s="2211">
        <f t="shared" si="44"/>
        <v>0</v>
      </c>
      <c r="CO22" s="2212"/>
      <c r="CP22" s="2212"/>
      <c r="CQ22" s="2211"/>
      <c r="CR22" s="2212"/>
      <c r="CS22" s="2212"/>
      <c r="CT22" s="2211"/>
      <c r="CU22" s="2212"/>
      <c r="CV22" s="2212"/>
      <c r="CW22" s="2211"/>
      <c r="CX22" s="2212"/>
      <c r="CY22" s="2212"/>
      <c r="CZ22" s="2211">
        <f t="shared" si="45"/>
        <v>0</v>
      </c>
      <c r="DA22" s="2212"/>
      <c r="DB22" s="2212"/>
      <c r="DC22" s="2211"/>
      <c r="DD22" s="2211">
        <f t="shared" si="46"/>
        <v>0</v>
      </c>
      <c r="DE22" s="2212"/>
      <c r="DF22" s="2212"/>
      <c r="DG22" s="2211">
        <f t="shared" si="47"/>
        <v>0</v>
      </c>
      <c r="DH22" s="2212"/>
      <c r="DI22" s="2212"/>
      <c r="DJ22" s="2211">
        <f t="shared" si="48"/>
        <v>0</v>
      </c>
      <c r="DK22" s="2212"/>
      <c r="DL22" s="2212"/>
      <c r="DM22" s="2211"/>
      <c r="DN22" s="2232">
        <f>+DO22+DP22+DQ22</f>
        <v>13000</v>
      </c>
      <c r="DO22" s="2212">
        <f>+'[5]Příroda 3749'!$B$4</f>
        <v>13000</v>
      </c>
      <c r="DP22" s="2212"/>
      <c r="DQ22" s="2230">
        <f>'[6]Příroda 3749'!$E$4</f>
        <v>0</v>
      </c>
      <c r="DR22" s="2211"/>
      <c r="DS22" s="2211"/>
      <c r="DT22" s="2211"/>
      <c r="DU22" s="2211"/>
      <c r="DV22" s="2211"/>
      <c r="DW22" s="2211"/>
      <c r="DX22" s="2211"/>
      <c r="DY22" s="2211"/>
      <c r="DZ22" s="2212"/>
      <c r="EA22" s="2230"/>
      <c r="EB22" s="2211"/>
      <c r="EC22" s="2211"/>
      <c r="ED22" s="2215"/>
      <c r="EE22" s="2206">
        <f t="shared" si="53"/>
        <v>2006000</v>
      </c>
      <c r="EF22" s="2165">
        <f t="shared" si="24"/>
        <v>0</v>
      </c>
      <c r="EG22" s="2233"/>
      <c r="EH22" s="2209">
        <f t="shared" si="54"/>
        <v>1916000</v>
      </c>
      <c r="EI22" s="2233">
        <f t="shared" si="7"/>
        <v>0</v>
      </c>
      <c r="EJ22" s="2209">
        <f t="shared" si="25"/>
        <v>90000</v>
      </c>
      <c r="EL22" s="2208"/>
    </row>
    <row r="23" spans="1:142" ht="13.5" customHeight="1" outlineLevel="1">
      <c r="A23" s="2225">
        <v>5151</v>
      </c>
      <c r="B23" s="2198" t="s">
        <v>77</v>
      </c>
      <c r="C23" s="2209">
        <v>710000</v>
      </c>
      <c r="D23" s="2209">
        <v>688000</v>
      </c>
      <c r="E23" s="2209">
        <v>688000</v>
      </c>
      <c r="F23" s="2209">
        <v>688000</v>
      </c>
      <c r="G23" s="2209">
        <v>688000</v>
      </c>
      <c r="H23" s="2209">
        <v>688000</v>
      </c>
      <c r="I23" s="2209">
        <v>688000</v>
      </c>
      <c r="J23" s="2209">
        <v>688000</v>
      </c>
      <c r="K23" s="2209">
        <f t="shared" si="51"/>
        <v>836000</v>
      </c>
      <c r="L23" s="2210"/>
      <c r="M23" s="2211"/>
      <c r="N23" s="2211"/>
      <c r="O23" s="2211"/>
      <c r="P23" s="2211"/>
      <c r="Q23" s="2211"/>
      <c r="R23" s="2211"/>
      <c r="S23" s="2211"/>
      <c r="T23" s="2211">
        <f t="shared" si="26"/>
        <v>86000</v>
      </c>
      <c r="U23" s="2212">
        <f>+[7]Správa!$D$4</f>
        <v>86000</v>
      </c>
      <c r="V23" s="2213">
        <f>+[7]Správa!$E$4</f>
        <v>0</v>
      </c>
      <c r="W23" s="2211"/>
      <c r="X23" s="2227">
        <f t="shared" ref="X23:X51" si="56">+V23+AW23+CL23+CI23+CE23+DQ23+AK23+AQ23+AZ23+BI23+BO23+BR23+BU23+BX23+CA23+CP23+DB23+DF23+DI23+DL23+AN23+EA23</f>
        <v>0</v>
      </c>
      <c r="Y23" s="2211"/>
      <c r="Z23" s="2211"/>
      <c r="AA23" s="2211"/>
      <c r="AB23" s="2211"/>
      <c r="AC23" s="2211"/>
      <c r="AD23" s="2211">
        <f>+'[7]Hotel Budka'!$B$4</f>
        <v>0</v>
      </c>
      <c r="AE23" s="2211"/>
      <c r="AF23" s="2211">
        <f>+[7]Knihovna!$B$4</f>
        <v>5000</v>
      </c>
      <c r="AG23" s="2211"/>
      <c r="AH23" s="2211"/>
      <c r="AI23" s="2211">
        <f t="shared" si="27"/>
        <v>23000</v>
      </c>
      <c r="AJ23" s="2212">
        <f>+[7]Byty!$B$4</f>
        <v>23000</v>
      </c>
      <c r="AK23" s="2212"/>
      <c r="AL23" s="2211">
        <f t="shared" si="28"/>
        <v>500000</v>
      </c>
      <c r="AM23" s="2212">
        <f>+[7]DPS!$B$4</f>
        <v>500000</v>
      </c>
      <c r="AN23" s="2212"/>
      <c r="AO23" s="2211">
        <f t="shared" si="29"/>
        <v>11000</v>
      </c>
      <c r="AP23" s="2212">
        <f>+[7]Nebyty!$B$4</f>
        <v>11000</v>
      </c>
      <c r="AQ23" s="2212"/>
      <c r="AR23" s="2211">
        <f>+[7]Hasiči!$B$4</f>
        <v>39000</v>
      </c>
      <c r="AS23" s="2211"/>
      <c r="AT23" s="2211"/>
      <c r="AU23" s="2211">
        <f t="shared" si="30"/>
        <v>3000</v>
      </c>
      <c r="AV23" s="2212">
        <f>+[7]Hřbitov!$B$4</f>
        <v>3000</v>
      </c>
      <c r="AW23" s="2212"/>
      <c r="AX23" s="2211">
        <f>+AY23+AZ23</f>
        <v>0</v>
      </c>
      <c r="AY23" s="2212"/>
      <c r="AZ23" s="2212"/>
      <c r="BA23" s="2211">
        <f>+BB23+BC23</f>
        <v>0</v>
      </c>
      <c r="BB23" s="2212"/>
      <c r="BC23" s="2212"/>
      <c r="BD23" s="2211">
        <f>+BE23+BF23</f>
        <v>0</v>
      </c>
      <c r="BE23" s="2212"/>
      <c r="BF23" s="2212"/>
      <c r="BG23" s="2211">
        <f t="shared" si="34"/>
        <v>8000</v>
      </c>
      <c r="BH23" s="2212">
        <f>+[7]ZŠ!$B$4</f>
        <v>8000</v>
      </c>
      <c r="BI23" s="2212"/>
      <c r="BJ23" s="2211">
        <f t="shared" si="35"/>
        <v>0</v>
      </c>
      <c r="BK23" s="2212">
        <f>+[7]Sv.Š!$B$4</f>
        <v>0</v>
      </c>
      <c r="BL23" s="2212"/>
      <c r="BM23" s="2211">
        <f t="shared" si="36"/>
        <v>20000</v>
      </c>
      <c r="BN23" s="2212">
        <f>+[7]č.p.65!$B$4</f>
        <v>20000</v>
      </c>
      <c r="BO23" s="2212"/>
      <c r="BP23" s="2211">
        <f t="shared" si="37"/>
        <v>0</v>
      </c>
      <c r="BQ23" s="2212"/>
      <c r="BR23" s="2212"/>
      <c r="BS23" s="2211">
        <f t="shared" si="38"/>
        <v>0</v>
      </c>
      <c r="BT23" s="2212"/>
      <c r="BU23" s="2212"/>
      <c r="BV23" s="2211">
        <f t="shared" si="39"/>
        <v>0</v>
      </c>
      <c r="BW23" s="2212"/>
      <c r="BX23" s="2212"/>
      <c r="BY23" s="2211">
        <f t="shared" si="40"/>
        <v>0</v>
      </c>
      <c r="BZ23" s="2212"/>
      <c r="CA23" s="2212"/>
      <c r="CB23" s="2211"/>
      <c r="CC23" s="2211">
        <f t="shared" si="41"/>
        <v>0</v>
      </c>
      <c r="CD23" s="2212"/>
      <c r="CE23" s="2212"/>
      <c r="CF23" s="2211"/>
      <c r="CG23" s="2211">
        <f t="shared" si="42"/>
        <v>0</v>
      </c>
      <c r="CH23" s="2212"/>
      <c r="CI23" s="2212"/>
      <c r="CJ23" s="2211">
        <f t="shared" si="43"/>
        <v>141000</v>
      </c>
      <c r="CK23" s="2212">
        <f>+[7]Silnice!$B$4</f>
        <v>141000</v>
      </c>
      <c r="CL23" s="2212"/>
      <c r="CM23" s="2211"/>
      <c r="CN23" s="2211">
        <f t="shared" si="44"/>
        <v>0</v>
      </c>
      <c r="CO23" s="2212"/>
      <c r="CP23" s="2212"/>
      <c r="CQ23" s="2211"/>
      <c r="CR23" s="2212"/>
      <c r="CS23" s="2212"/>
      <c r="CT23" s="2211"/>
      <c r="CU23" s="2212"/>
      <c r="CV23" s="2212"/>
      <c r="CW23" s="2211"/>
      <c r="CX23" s="2212"/>
      <c r="CY23" s="2212"/>
      <c r="CZ23" s="2211">
        <f t="shared" si="45"/>
        <v>0</v>
      </c>
      <c r="DA23" s="2212"/>
      <c r="DB23" s="2212"/>
      <c r="DC23" s="2211"/>
      <c r="DD23" s="2211">
        <f t="shared" si="46"/>
        <v>0</v>
      </c>
      <c r="DE23" s="2212"/>
      <c r="DF23" s="2212"/>
      <c r="DG23" s="2211">
        <f t="shared" si="47"/>
        <v>0</v>
      </c>
      <c r="DH23" s="2212"/>
      <c r="DI23" s="2212"/>
      <c r="DJ23" s="2211">
        <f t="shared" si="48"/>
        <v>0</v>
      </c>
      <c r="DK23" s="2212"/>
      <c r="DL23" s="2212"/>
      <c r="DM23" s="2211"/>
      <c r="DN23" s="2211">
        <f t="shared" si="49"/>
        <v>0</v>
      </c>
      <c r="DO23" s="2212"/>
      <c r="DP23" s="2212"/>
      <c r="DQ23" s="2212"/>
      <c r="DR23" s="2211"/>
      <c r="DS23" s="2211"/>
      <c r="DT23" s="2211"/>
      <c r="DU23" s="2211"/>
      <c r="DV23" s="2211"/>
      <c r="DW23" s="2211"/>
      <c r="DX23" s="2211"/>
      <c r="DY23" s="2211"/>
      <c r="DZ23" s="2212"/>
      <c r="EA23" s="2212"/>
      <c r="EB23" s="2211"/>
      <c r="EC23" s="2211"/>
      <c r="ED23" s="2215"/>
      <c r="EE23" s="2206">
        <f t="shared" si="53"/>
        <v>836000</v>
      </c>
      <c r="EF23" s="2165">
        <f t="shared" si="24"/>
        <v>0</v>
      </c>
      <c r="EG23" s="2166"/>
      <c r="EH23" s="2209">
        <f t="shared" si="54"/>
        <v>836000</v>
      </c>
      <c r="EI23" s="2166">
        <f t="shared" si="7"/>
        <v>0</v>
      </c>
      <c r="EJ23" s="2209">
        <f t="shared" si="25"/>
        <v>0</v>
      </c>
      <c r="EL23" s="2208"/>
    </row>
    <row r="24" spans="1:142" s="2234" customFormat="1" ht="13.5" customHeight="1" outlineLevel="1">
      <c r="A24" s="2225">
        <v>5153</v>
      </c>
      <c r="B24" s="2198" t="s">
        <v>78</v>
      </c>
      <c r="C24" s="2209">
        <v>5440450</v>
      </c>
      <c r="D24" s="2209">
        <v>4034750</v>
      </c>
      <c r="E24" s="2209">
        <v>4036990</v>
      </c>
      <c r="F24" s="2209">
        <v>4036990</v>
      </c>
      <c r="G24" s="2209">
        <v>4036990</v>
      </c>
      <c r="H24" s="2209">
        <v>4036990</v>
      </c>
      <c r="I24" s="2209">
        <v>4036990</v>
      </c>
      <c r="J24" s="2209">
        <v>4036990</v>
      </c>
      <c r="K24" s="2209">
        <f t="shared" si="51"/>
        <v>2437000</v>
      </c>
      <c r="L24" s="2210"/>
      <c r="M24" s="2211"/>
      <c r="N24" s="2211"/>
      <c r="O24" s="2211"/>
      <c r="P24" s="2211"/>
      <c r="Q24" s="2211"/>
      <c r="R24" s="2211"/>
      <c r="S24" s="2211"/>
      <c r="T24" s="2211">
        <f t="shared" si="26"/>
        <v>485000</v>
      </c>
      <c r="U24" s="2212">
        <f>+[7]Správa!$D$11</f>
        <v>485000</v>
      </c>
      <c r="V24" s="2213">
        <f>+[7]Správa!$E$11</f>
        <v>0</v>
      </c>
      <c r="W24" s="2211"/>
      <c r="X24" s="2227">
        <f t="shared" si="56"/>
        <v>0</v>
      </c>
      <c r="Y24" s="2211"/>
      <c r="Z24" s="2211"/>
      <c r="AA24" s="2211"/>
      <c r="AB24" s="2211"/>
      <c r="AC24" s="2211"/>
      <c r="AD24" s="2211">
        <f>+'[7]Hotel Budka'!$B$11</f>
        <v>2240</v>
      </c>
      <c r="AE24" s="2211"/>
      <c r="AF24" s="2211">
        <f>+[7]Knihovna!$B$11</f>
        <v>2000</v>
      </c>
      <c r="AG24" s="2211"/>
      <c r="AH24" s="2211"/>
      <c r="AI24" s="2211">
        <f t="shared" si="27"/>
        <v>234000</v>
      </c>
      <c r="AJ24" s="2212">
        <f>+[7]Byty!$B$11</f>
        <v>234000</v>
      </c>
      <c r="AK24" s="2212"/>
      <c r="AL24" s="2211">
        <f t="shared" si="28"/>
        <v>1066000</v>
      </c>
      <c r="AM24" s="2212">
        <f>+[7]DPS!$B$11</f>
        <v>1066000</v>
      </c>
      <c r="AN24" s="2212"/>
      <c r="AO24" s="2211">
        <f t="shared" si="29"/>
        <v>127760</v>
      </c>
      <c r="AP24" s="2212">
        <f>+[7]Nebyty!$B$11</f>
        <v>127760</v>
      </c>
      <c r="AQ24" s="2212"/>
      <c r="AR24" s="2211">
        <f>+[7]Hasiči!$B$11</f>
        <v>100000</v>
      </c>
      <c r="AS24" s="2211"/>
      <c r="AT24" s="2211"/>
      <c r="AU24" s="2211">
        <f t="shared" si="30"/>
        <v>0</v>
      </c>
      <c r="AV24" s="2212"/>
      <c r="AW24" s="2212"/>
      <c r="AX24" s="2211">
        <f t="shared" si="31"/>
        <v>0</v>
      </c>
      <c r="AY24" s="2212"/>
      <c r="AZ24" s="2212"/>
      <c r="BA24" s="2211">
        <f t="shared" ref="BA24:BA47" si="57">+BB24+BC24</f>
        <v>0</v>
      </c>
      <c r="BB24" s="2212"/>
      <c r="BC24" s="2212"/>
      <c r="BD24" s="2211">
        <f t="shared" ref="BD24:BD47" si="58">+BE24+BF24</f>
        <v>0</v>
      </c>
      <c r="BE24" s="2212"/>
      <c r="BF24" s="2212"/>
      <c r="BG24" s="2211">
        <f t="shared" si="34"/>
        <v>350000</v>
      </c>
      <c r="BH24" s="2212">
        <f>+[7]ZŠ!$B$11</f>
        <v>350000</v>
      </c>
      <c r="BI24" s="2212"/>
      <c r="BJ24" s="2211">
        <f t="shared" si="35"/>
        <v>0</v>
      </c>
      <c r="BK24" s="2212">
        <f>+[7]Sv.Š!$B$11</f>
        <v>0</v>
      </c>
      <c r="BL24" s="2212"/>
      <c r="BM24" s="2211">
        <f t="shared" si="36"/>
        <v>70000</v>
      </c>
      <c r="BN24" s="2212">
        <f>+[7]č.p.65!$B$11</f>
        <v>70000</v>
      </c>
      <c r="BO24" s="2212"/>
      <c r="BP24" s="2211">
        <f t="shared" si="37"/>
        <v>0</v>
      </c>
      <c r="BQ24" s="2212"/>
      <c r="BR24" s="2212"/>
      <c r="BS24" s="2211">
        <f t="shared" si="38"/>
        <v>0</v>
      </c>
      <c r="BT24" s="2212"/>
      <c r="BU24" s="2212"/>
      <c r="BV24" s="2211">
        <f t="shared" si="39"/>
        <v>0</v>
      </c>
      <c r="BW24" s="2212"/>
      <c r="BX24" s="2212"/>
      <c r="BY24" s="2211">
        <f t="shared" si="40"/>
        <v>0</v>
      </c>
      <c r="BZ24" s="2212"/>
      <c r="CA24" s="2212"/>
      <c r="CB24" s="2211"/>
      <c r="CC24" s="2211">
        <f t="shared" si="41"/>
        <v>0</v>
      </c>
      <c r="CD24" s="2212"/>
      <c r="CE24" s="2212"/>
      <c r="CF24" s="2211"/>
      <c r="CG24" s="2211">
        <f t="shared" si="42"/>
        <v>0</v>
      </c>
      <c r="CH24" s="2212"/>
      <c r="CI24" s="2212"/>
      <c r="CJ24" s="2211">
        <f t="shared" si="43"/>
        <v>0</v>
      </c>
      <c r="CK24" s="2212"/>
      <c r="CL24" s="2212"/>
      <c r="CM24" s="2211"/>
      <c r="CN24" s="2211">
        <f t="shared" si="44"/>
        <v>0</v>
      </c>
      <c r="CO24" s="2212"/>
      <c r="CP24" s="2212"/>
      <c r="CQ24" s="2211"/>
      <c r="CR24" s="2212"/>
      <c r="CS24" s="2212"/>
      <c r="CT24" s="2211"/>
      <c r="CU24" s="2212"/>
      <c r="CV24" s="2212"/>
      <c r="CW24" s="2211"/>
      <c r="CX24" s="2212"/>
      <c r="CY24" s="2212"/>
      <c r="CZ24" s="2211">
        <f t="shared" si="45"/>
        <v>0</v>
      </c>
      <c r="DA24" s="2212"/>
      <c r="DB24" s="2212"/>
      <c r="DC24" s="2211"/>
      <c r="DD24" s="2211">
        <f t="shared" si="46"/>
        <v>0</v>
      </c>
      <c r="DE24" s="2212"/>
      <c r="DF24" s="2212"/>
      <c r="DG24" s="2211">
        <f t="shared" si="47"/>
        <v>0</v>
      </c>
      <c r="DH24" s="2212"/>
      <c r="DI24" s="2212"/>
      <c r="DJ24" s="2211">
        <f t="shared" si="48"/>
        <v>0</v>
      </c>
      <c r="DK24" s="2212"/>
      <c r="DL24" s="2212"/>
      <c r="DM24" s="2211"/>
      <c r="DN24" s="2211">
        <f t="shared" si="49"/>
        <v>0</v>
      </c>
      <c r="DO24" s="2212"/>
      <c r="DP24" s="2212"/>
      <c r="DQ24" s="2212"/>
      <c r="DR24" s="2211"/>
      <c r="DS24" s="2211"/>
      <c r="DT24" s="2211"/>
      <c r="DU24" s="2211"/>
      <c r="DV24" s="2211"/>
      <c r="DW24" s="2211"/>
      <c r="DX24" s="2211"/>
      <c r="DY24" s="2211"/>
      <c r="DZ24" s="2212"/>
      <c r="EA24" s="2212"/>
      <c r="EB24" s="2211"/>
      <c r="EC24" s="2211"/>
      <c r="ED24" s="2215"/>
      <c r="EE24" s="2206">
        <f t="shared" si="53"/>
        <v>2437000</v>
      </c>
      <c r="EF24" s="2165">
        <f t="shared" si="24"/>
        <v>0</v>
      </c>
      <c r="EG24" s="2166"/>
      <c r="EH24" s="2209">
        <f t="shared" si="54"/>
        <v>2437000</v>
      </c>
      <c r="EI24" s="2166">
        <f t="shared" si="7"/>
        <v>0</v>
      </c>
      <c r="EJ24" s="2209">
        <f t="shared" si="25"/>
        <v>0</v>
      </c>
      <c r="EL24" s="2208"/>
    </row>
    <row r="25" spans="1:142" ht="13.5" customHeight="1" outlineLevel="1">
      <c r="A25" s="2225">
        <v>5154</v>
      </c>
      <c r="B25" s="2198" t="s">
        <v>79</v>
      </c>
      <c r="C25" s="2209">
        <v>7444800</v>
      </c>
      <c r="D25" s="2209">
        <v>5656300</v>
      </c>
      <c r="E25" s="2209">
        <v>5680300</v>
      </c>
      <c r="F25" s="2209">
        <v>5680300</v>
      </c>
      <c r="G25" s="2209">
        <v>5680300</v>
      </c>
      <c r="H25" s="2209">
        <v>5680300</v>
      </c>
      <c r="I25" s="2209">
        <v>5680300</v>
      </c>
      <c r="J25" s="2209">
        <v>5680300</v>
      </c>
      <c r="K25" s="2209">
        <f t="shared" si="51"/>
        <v>3220600</v>
      </c>
      <c r="L25" s="2210"/>
      <c r="M25" s="2211"/>
      <c r="N25" s="2211"/>
      <c r="O25" s="2211"/>
      <c r="P25" s="2211"/>
      <c r="Q25" s="2211"/>
      <c r="R25" s="2211"/>
      <c r="S25" s="2211"/>
      <c r="T25" s="2211">
        <f t="shared" si="26"/>
        <v>726000</v>
      </c>
      <c r="U25" s="2212">
        <f>+[7]Správa!$D$18</f>
        <v>726000</v>
      </c>
      <c r="V25" s="2213">
        <f>+[7]Správa!$E$18</f>
        <v>0</v>
      </c>
      <c r="W25" s="2211"/>
      <c r="X25" s="2227">
        <f t="shared" si="56"/>
        <v>0</v>
      </c>
      <c r="Y25" s="2211"/>
      <c r="Z25" s="2211"/>
      <c r="AA25" s="2211"/>
      <c r="AB25" s="2211"/>
      <c r="AC25" s="2211"/>
      <c r="AD25" s="2211">
        <f>+'[7]Hotel Budka'!$B$18</f>
        <v>24000</v>
      </c>
      <c r="AE25" s="2211">
        <f>+'[7]3329'!$B$18</f>
        <v>3000</v>
      </c>
      <c r="AF25" s="2211">
        <f>+[7]Knihovna!$B$18</f>
        <v>100000</v>
      </c>
      <c r="AG25" s="2211"/>
      <c r="AH25" s="2211">
        <f>+[2]Kultura!$B$69</f>
        <v>8100</v>
      </c>
      <c r="AI25" s="2211">
        <f t="shared" si="27"/>
        <v>195000</v>
      </c>
      <c r="AJ25" s="2212">
        <f>+[7]Byty!$B$18</f>
        <v>195000</v>
      </c>
      <c r="AK25" s="2212"/>
      <c r="AL25" s="2211">
        <f t="shared" si="28"/>
        <v>145000</v>
      </c>
      <c r="AM25" s="2212">
        <f>+[7]DPS!$B$18</f>
        <v>145000</v>
      </c>
      <c r="AN25" s="2212"/>
      <c r="AO25" s="2211">
        <f t="shared" si="29"/>
        <v>136000</v>
      </c>
      <c r="AP25" s="2212">
        <f>+[7]Nebyty!$B$18</f>
        <v>136000</v>
      </c>
      <c r="AQ25" s="2212"/>
      <c r="AR25" s="2211">
        <f>+[7]Hasiči!$B$18</f>
        <v>80000</v>
      </c>
      <c r="AS25" s="2211"/>
      <c r="AT25" s="2211">
        <f>+[7]TESKO!$B$4</f>
        <v>0</v>
      </c>
      <c r="AU25" s="2211">
        <f t="shared" si="30"/>
        <v>0</v>
      </c>
      <c r="AV25" s="2212"/>
      <c r="AW25" s="2212"/>
      <c r="AX25" s="2211">
        <f t="shared" si="31"/>
        <v>0</v>
      </c>
      <c r="AY25" s="2212">
        <f>+[7]Koupaliště!$B$4</f>
        <v>0</v>
      </c>
      <c r="AZ25" s="2212"/>
      <c r="BA25" s="2211">
        <f t="shared" si="57"/>
        <v>0</v>
      </c>
      <c r="BB25" s="2212">
        <f>+[7]Hřiště!$B$4</f>
        <v>0</v>
      </c>
      <c r="BC25" s="2212"/>
      <c r="BD25" s="2211">
        <f t="shared" si="58"/>
        <v>0</v>
      </c>
      <c r="BE25" s="2212">
        <f>+[7]Spolky!$B$4</f>
        <v>0</v>
      </c>
      <c r="BF25" s="2212"/>
      <c r="BG25" s="2211">
        <f t="shared" si="34"/>
        <v>36500</v>
      </c>
      <c r="BH25" s="2212">
        <f>+[7]ZŠ!$B$18</f>
        <v>36500</v>
      </c>
      <c r="BI25" s="2212"/>
      <c r="BJ25" s="2211">
        <f t="shared" si="35"/>
        <v>0</v>
      </c>
      <c r="BK25" s="2212">
        <f>+[7]Sv.Š!$B$18</f>
        <v>0</v>
      </c>
      <c r="BL25" s="2212"/>
      <c r="BM25" s="2211">
        <f t="shared" si="36"/>
        <v>40000</v>
      </c>
      <c r="BN25" s="2212">
        <f>+[7]č.p.65!$B$18</f>
        <v>40000</v>
      </c>
      <c r="BO25" s="2212"/>
      <c r="BP25" s="2211">
        <f t="shared" si="37"/>
        <v>0</v>
      </c>
      <c r="BQ25" s="2212"/>
      <c r="BR25" s="2212"/>
      <c r="BS25" s="2211">
        <f t="shared" si="38"/>
        <v>0</v>
      </c>
      <c r="BT25" s="2212"/>
      <c r="BU25" s="2212"/>
      <c r="BV25" s="2211">
        <f t="shared" si="39"/>
        <v>0</v>
      </c>
      <c r="BW25" s="2212"/>
      <c r="BX25" s="2212"/>
      <c r="BY25" s="2211">
        <f t="shared" si="40"/>
        <v>0</v>
      </c>
      <c r="BZ25" s="2212"/>
      <c r="CA25" s="2212"/>
      <c r="CB25" s="2211"/>
      <c r="CC25" s="2211">
        <f t="shared" si="41"/>
        <v>0</v>
      </c>
      <c r="CD25" s="2212"/>
      <c r="CE25" s="2212"/>
      <c r="CF25" s="2211"/>
      <c r="CG25" s="2211">
        <f t="shared" si="42"/>
        <v>1300000</v>
      </c>
      <c r="CH25" s="2212">
        <f>+[3]VO!$D$12</f>
        <v>1300000</v>
      </c>
      <c r="CI25" s="2212">
        <f>+[3]VO!$E$12</f>
        <v>0</v>
      </c>
      <c r="CJ25" s="2211">
        <f t="shared" si="43"/>
        <v>35000</v>
      </c>
      <c r="CK25" s="2230">
        <f>+[3]Silnice!$D$11</f>
        <v>35000</v>
      </c>
      <c r="CL25" s="2212">
        <f>+[3]Silnice!$E$11</f>
        <v>0</v>
      </c>
      <c r="CM25" s="2211">
        <f>+[4]Doprava!$B$4</f>
        <v>40000</v>
      </c>
      <c r="CN25" s="2211">
        <f t="shared" si="44"/>
        <v>331000</v>
      </c>
      <c r="CO25" s="2212">
        <f>+[3]Vodovod!$D$4</f>
        <v>331000</v>
      </c>
      <c r="CP25" s="2212">
        <f>+[3]Vodovod!$E$4</f>
        <v>0</v>
      </c>
      <c r="CQ25" s="2211"/>
      <c r="CR25" s="2212"/>
      <c r="CS25" s="2212"/>
      <c r="CT25" s="2211">
        <f>+CU25+CV25</f>
        <v>21000</v>
      </c>
      <c r="CU25" s="2212">
        <f>+[3]Kanalizace!$D$4</f>
        <v>21000</v>
      </c>
      <c r="CV25" s="2212">
        <f>+[3]Kanalizace!$E$4</f>
        <v>0</v>
      </c>
      <c r="CW25" s="2211"/>
      <c r="CX25" s="2212"/>
      <c r="CY25" s="2212"/>
      <c r="CZ25" s="2211">
        <f t="shared" si="45"/>
        <v>0</v>
      </c>
      <c r="DA25" s="2212"/>
      <c r="DB25" s="2212"/>
      <c r="DC25" s="2211"/>
      <c r="DD25" s="2211">
        <f t="shared" si="46"/>
        <v>0</v>
      </c>
      <c r="DE25" s="2212"/>
      <c r="DF25" s="2212"/>
      <c r="DG25" s="2211">
        <f t="shared" si="47"/>
        <v>0</v>
      </c>
      <c r="DH25" s="2212"/>
      <c r="DI25" s="2212"/>
      <c r="DJ25" s="2211">
        <f t="shared" si="48"/>
        <v>0</v>
      </c>
      <c r="DK25" s="2212"/>
      <c r="DL25" s="2212"/>
      <c r="DM25" s="2211"/>
      <c r="DN25" s="2211">
        <f t="shared" si="49"/>
        <v>0</v>
      </c>
      <c r="DO25" s="2212"/>
      <c r="DP25" s="2212"/>
      <c r="DQ25" s="2212"/>
      <c r="DR25" s="2211"/>
      <c r="DS25" s="2211"/>
      <c r="DT25" s="2211"/>
      <c r="DU25" s="2211"/>
      <c r="DV25" s="2211"/>
      <c r="DW25" s="2211"/>
      <c r="DX25" s="2211"/>
      <c r="DY25" s="2211">
        <f>+DZ25+EA25</f>
        <v>0</v>
      </c>
      <c r="DZ25" s="2212">
        <f>'[6]TSÚ-Sběrný dvůr 3722-36'!$D$4</f>
        <v>0</v>
      </c>
      <c r="EA25" s="2212">
        <f>'[6]TSÚ-Sběrný dvůr 3722-36'!$E$4</f>
        <v>0</v>
      </c>
      <c r="EB25" s="2211"/>
      <c r="EC25" s="2211"/>
      <c r="ED25" s="2215"/>
      <c r="EE25" s="2206">
        <f t="shared" si="53"/>
        <v>3217600</v>
      </c>
      <c r="EF25" s="2165">
        <f t="shared" si="24"/>
        <v>-3000</v>
      </c>
      <c r="EG25" s="2166"/>
      <c r="EH25" s="2209">
        <f t="shared" si="54"/>
        <v>3220600</v>
      </c>
      <c r="EI25" s="2166">
        <f t="shared" si="7"/>
        <v>0</v>
      </c>
      <c r="EJ25" s="2209">
        <f t="shared" si="25"/>
        <v>0</v>
      </c>
      <c r="EL25" s="2208"/>
    </row>
    <row r="26" spans="1:142" ht="13.5" customHeight="1" outlineLevel="1">
      <c r="A26" s="2225">
        <v>5156</v>
      </c>
      <c r="B26" s="2198" t="s">
        <v>80</v>
      </c>
      <c r="C26" s="2209">
        <v>640000</v>
      </c>
      <c r="D26" s="2209">
        <v>717000</v>
      </c>
      <c r="E26" s="2209">
        <v>717000</v>
      </c>
      <c r="F26" s="2209">
        <v>717000</v>
      </c>
      <c r="G26" s="2209">
        <v>717000</v>
      </c>
      <c r="H26" s="2209">
        <v>717000</v>
      </c>
      <c r="I26" s="2209">
        <v>717000</v>
      </c>
      <c r="J26" s="2209">
        <v>717000</v>
      </c>
      <c r="K26" s="2209">
        <f t="shared" si="51"/>
        <v>379000</v>
      </c>
      <c r="L26" s="2210"/>
      <c r="M26" s="2211"/>
      <c r="N26" s="2211"/>
      <c r="O26" s="2211"/>
      <c r="P26" s="2211"/>
      <c r="Q26" s="2211"/>
      <c r="R26" s="2211">
        <f>+[2]Zastupitelé!$B$24</f>
        <v>2000</v>
      </c>
      <c r="S26" s="2211"/>
      <c r="T26" s="2211">
        <f t="shared" si="26"/>
        <v>56000</v>
      </c>
      <c r="U26" s="2212">
        <f>+[2]Správa!$D$25</f>
        <v>56000</v>
      </c>
      <c r="V26" s="2213">
        <f>+[2]Správa!$E$25</f>
        <v>0</v>
      </c>
      <c r="W26" s="2211"/>
      <c r="X26" s="2227">
        <f t="shared" si="56"/>
        <v>0</v>
      </c>
      <c r="Y26" s="2211">
        <f>+'[2]Pečovatelská služba'!$B$25</f>
        <v>92000</v>
      </c>
      <c r="Z26" s="2211"/>
      <c r="AA26" s="2211"/>
      <c r="AB26" s="2211">
        <f>+'[2]Městská policie'!$B$35</f>
        <v>169000</v>
      </c>
      <c r="AC26" s="2211"/>
      <c r="AD26" s="2211"/>
      <c r="AE26" s="2211"/>
      <c r="AF26" s="2211"/>
      <c r="AG26" s="2211"/>
      <c r="AH26" s="2211"/>
      <c r="AI26" s="2211">
        <f t="shared" si="27"/>
        <v>0</v>
      </c>
      <c r="AJ26" s="2212"/>
      <c r="AK26" s="2212"/>
      <c r="AL26" s="2211">
        <f t="shared" si="28"/>
        <v>0</v>
      </c>
      <c r="AM26" s="2212"/>
      <c r="AN26" s="2212"/>
      <c r="AO26" s="2211">
        <f t="shared" si="29"/>
        <v>0</v>
      </c>
      <c r="AP26" s="2212"/>
      <c r="AQ26" s="2212"/>
      <c r="AR26" s="2228">
        <f>+[3]Hasiči!$B$11</f>
        <v>60000</v>
      </c>
      <c r="AS26" s="2211"/>
      <c r="AT26" s="2211"/>
      <c r="AU26" s="2211">
        <f t="shared" si="30"/>
        <v>0</v>
      </c>
      <c r="AV26" s="2212"/>
      <c r="AW26" s="2212"/>
      <c r="AX26" s="2211">
        <f t="shared" si="31"/>
        <v>0</v>
      </c>
      <c r="AY26" s="2212"/>
      <c r="AZ26" s="2212"/>
      <c r="BA26" s="2211">
        <f t="shared" si="57"/>
        <v>0</v>
      </c>
      <c r="BB26" s="2212"/>
      <c r="BC26" s="2212"/>
      <c r="BD26" s="2211">
        <f t="shared" si="58"/>
        <v>0</v>
      </c>
      <c r="BE26" s="2212"/>
      <c r="BF26" s="2212"/>
      <c r="BG26" s="2211">
        <f t="shared" si="34"/>
        <v>0</v>
      </c>
      <c r="BH26" s="2212"/>
      <c r="BI26" s="2212"/>
      <c r="BJ26" s="2211">
        <f t="shared" si="35"/>
        <v>0</v>
      </c>
      <c r="BK26" s="2212"/>
      <c r="BL26" s="2212"/>
      <c r="BM26" s="2211">
        <f t="shared" si="36"/>
        <v>0</v>
      </c>
      <c r="BN26" s="2212"/>
      <c r="BO26" s="2212"/>
      <c r="BP26" s="2211">
        <f t="shared" si="37"/>
        <v>0</v>
      </c>
      <c r="BQ26" s="2212"/>
      <c r="BR26" s="2212"/>
      <c r="BS26" s="2211">
        <f t="shared" si="38"/>
        <v>0</v>
      </c>
      <c r="BT26" s="2212"/>
      <c r="BU26" s="2212"/>
      <c r="BV26" s="2211">
        <f t="shared" si="39"/>
        <v>0</v>
      </c>
      <c r="BW26" s="2212"/>
      <c r="BX26" s="2212"/>
      <c r="BY26" s="2211">
        <f t="shared" si="40"/>
        <v>0</v>
      </c>
      <c r="BZ26" s="2212"/>
      <c r="CA26" s="2212"/>
      <c r="CB26" s="2211"/>
      <c r="CC26" s="2211">
        <f t="shared" si="41"/>
        <v>0</v>
      </c>
      <c r="CD26" s="2212"/>
      <c r="CE26" s="2212"/>
      <c r="CF26" s="2211"/>
      <c r="CG26" s="2211">
        <f t="shared" si="42"/>
        <v>0</v>
      </c>
      <c r="CH26" s="2212"/>
      <c r="CI26" s="2212"/>
      <c r="CJ26" s="2211">
        <f t="shared" si="43"/>
        <v>0</v>
      </c>
      <c r="CK26" s="2212"/>
      <c r="CL26" s="2212"/>
      <c r="CM26" s="2211"/>
      <c r="CN26" s="2211">
        <f t="shared" si="44"/>
        <v>0</v>
      </c>
      <c r="CO26" s="2212"/>
      <c r="CP26" s="2212"/>
      <c r="CQ26" s="2211"/>
      <c r="CR26" s="2212"/>
      <c r="CS26" s="2212"/>
      <c r="CT26" s="2211"/>
      <c r="CU26" s="2212"/>
      <c r="CV26" s="2212"/>
      <c r="CW26" s="2211"/>
      <c r="CX26" s="2212"/>
      <c r="CY26" s="2212"/>
      <c r="CZ26" s="2211">
        <f t="shared" si="45"/>
        <v>0</v>
      </c>
      <c r="DA26" s="2212"/>
      <c r="DB26" s="2212"/>
      <c r="DC26" s="2211"/>
      <c r="DD26" s="2211">
        <f t="shared" si="46"/>
        <v>0</v>
      </c>
      <c r="DE26" s="2212"/>
      <c r="DF26" s="2212"/>
      <c r="DG26" s="2211">
        <f t="shared" si="47"/>
        <v>0</v>
      </c>
      <c r="DH26" s="2212"/>
      <c r="DI26" s="2212"/>
      <c r="DJ26" s="2211">
        <f t="shared" si="48"/>
        <v>0</v>
      </c>
      <c r="DK26" s="2212"/>
      <c r="DL26" s="2212"/>
      <c r="DM26" s="2211"/>
      <c r="DN26" s="2211">
        <f t="shared" si="49"/>
        <v>0</v>
      </c>
      <c r="DO26" s="2212"/>
      <c r="DP26" s="2212"/>
      <c r="DQ26" s="2212"/>
      <c r="DR26" s="2211"/>
      <c r="DS26" s="2211"/>
      <c r="DT26" s="2211"/>
      <c r="DU26" s="2211"/>
      <c r="DV26" s="2211"/>
      <c r="DW26" s="2211"/>
      <c r="DX26" s="2211"/>
      <c r="DY26" s="2211"/>
      <c r="DZ26" s="2212"/>
      <c r="EA26" s="2212"/>
      <c r="EB26" s="2211"/>
      <c r="EC26" s="2211"/>
      <c r="ED26" s="2215"/>
      <c r="EE26" s="2206">
        <f t="shared" si="53"/>
        <v>379000</v>
      </c>
      <c r="EF26" s="2165">
        <f t="shared" si="24"/>
        <v>0</v>
      </c>
      <c r="EG26" s="2166"/>
      <c r="EH26" s="2209">
        <f t="shared" si="54"/>
        <v>379000</v>
      </c>
      <c r="EI26" s="2166">
        <f t="shared" si="7"/>
        <v>0</v>
      </c>
      <c r="EJ26" s="2209">
        <f t="shared" si="25"/>
        <v>0</v>
      </c>
      <c r="EL26" s="2208"/>
    </row>
    <row r="27" spans="1:142" ht="13.5" customHeight="1" outlineLevel="1">
      <c r="A27" s="2225">
        <v>5161</v>
      </c>
      <c r="B27" s="2198" t="s">
        <v>81</v>
      </c>
      <c r="C27" s="2209">
        <v>695000</v>
      </c>
      <c r="D27" s="2209">
        <v>745000</v>
      </c>
      <c r="E27" s="2209">
        <v>745000</v>
      </c>
      <c r="F27" s="2209">
        <v>745000</v>
      </c>
      <c r="G27" s="2209">
        <v>745000</v>
      </c>
      <c r="H27" s="2209">
        <v>745000</v>
      </c>
      <c r="I27" s="2209">
        <v>745000</v>
      </c>
      <c r="J27" s="2209">
        <v>745000</v>
      </c>
      <c r="K27" s="2209">
        <f t="shared" si="51"/>
        <v>585000</v>
      </c>
      <c r="L27" s="2210"/>
      <c r="M27" s="2211"/>
      <c r="N27" s="2211"/>
      <c r="O27" s="2211"/>
      <c r="P27" s="2211"/>
      <c r="Q27" s="2211"/>
      <c r="R27" s="2211"/>
      <c r="S27" s="2211"/>
      <c r="T27" s="2211">
        <f t="shared" si="26"/>
        <v>582000</v>
      </c>
      <c r="U27" s="2212">
        <f>+[2]Správa!$D$32</f>
        <v>582000</v>
      </c>
      <c r="V27" s="2213">
        <f>+[2]Správa!$E$32</f>
        <v>0</v>
      </c>
      <c r="W27" s="2211"/>
      <c r="X27" s="2227">
        <f t="shared" si="56"/>
        <v>0</v>
      </c>
      <c r="Y27" s="2211"/>
      <c r="Z27" s="2211"/>
      <c r="AA27" s="2211"/>
      <c r="AB27" s="2211"/>
      <c r="AC27" s="2211"/>
      <c r="AD27" s="2211"/>
      <c r="AE27" s="2211"/>
      <c r="AF27" s="2211">
        <f>+[2]Knihovna!$B$26</f>
        <v>3000</v>
      </c>
      <c r="AG27" s="2211">
        <f>+'[2]Život Úval'!$B$4</f>
        <v>0</v>
      </c>
      <c r="AH27" s="2211"/>
      <c r="AI27" s="2211">
        <f t="shared" si="27"/>
        <v>0</v>
      </c>
      <c r="AJ27" s="2212"/>
      <c r="AK27" s="2212"/>
      <c r="AL27" s="2211">
        <f t="shared" si="28"/>
        <v>0</v>
      </c>
      <c r="AM27" s="2212"/>
      <c r="AN27" s="2212"/>
      <c r="AO27" s="2211">
        <f t="shared" si="29"/>
        <v>0</v>
      </c>
      <c r="AP27" s="2212"/>
      <c r="AQ27" s="2212"/>
      <c r="AR27" s="2228"/>
      <c r="AS27" s="2211"/>
      <c r="AT27" s="2211"/>
      <c r="AU27" s="2211">
        <f t="shared" si="30"/>
        <v>0</v>
      </c>
      <c r="AV27" s="2212"/>
      <c r="AW27" s="2212"/>
      <c r="AX27" s="2211">
        <f t="shared" si="31"/>
        <v>0</v>
      </c>
      <c r="AY27" s="2212"/>
      <c r="AZ27" s="2212"/>
      <c r="BA27" s="2211">
        <f t="shared" si="57"/>
        <v>0</v>
      </c>
      <c r="BB27" s="2212"/>
      <c r="BC27" s="2212"/>
      <c r="BD27" s="2211">
        <f t="shared" si="58"/>
        <v>0</v>
      </c>
      <c r="BE27" s="2212"/>
      <c r="BF27" s="2212"/>
      <c r="BG27" s="2211">
        <f t="shared" si="34"/>
        <v>0</v>
      </c>
      <c r="BH27" s="2212"/>
      <c r="BI27" s="2212"/>
      <c r="BJ27" s="2211">
        <f t="shared" si="35"/>
        <v>0</v>
      </c>
      <c r="BK27" s="2212"/>
      <c r="BL27" s="2212"/>
      <c r="BM27" s="2211">
        <f t="shared" si="36"/>
        <v>0</v>
      </c>
      <c r="BN27" s="2212"/>
      <c r="BO27" s="2212"/>
      <c r="BP27" s="2211">
        <f t="shared" si="37"/>
        <v>0</v>
      </c>
      <c r="BQ27" s="2212"/>
      <c r="BR27" s="2212"/>
      <c r="BS27" s="2211">
        <f t="shared" si="38"/>
        <v>0</v>
      </c>
      <c r="BT27" s="2212"/>
      <c r="BU27" s="2212"/>
      <c r="BV27" s="2211">
        <f t="shared" si="39"/>
        <v>0</v>
      </c>
      <c r="BW27" s="2212"/>
      <c r="BX27" s="2212"/>
      <c r="BY27" s="2211">
        <f t="shared" si="40"/>
        <v>0</v>
      </c>
      <c r="BZ27" s="2212"/>
      <c r="CA27" s="2212"/>
      <c r="CB27" s="2211"/>
      <c r="CC27" s="2211">
        <f t="shared" si="41"/>
        <v>0</v>
      </c>
      <c r="CD27" s="2212"/>
      <c r="CE27" s="2212"/>
      <c r="CF27" s="2211"/>
      <c r="CG27" s="2211">
        <f t="shared" si="42"/>
        <v>0</v>
      </c>
      <c r="CH27" s="2212"/>
      <c r="CI27" s="2212"/>
      <c r="CJ27" s="2211">
        <f t="shared" si="43"/>
        <v>0</v>
      </c>
      <c r="CK27" s="2212"/>
      <c r="CL27" s="2212"/>
      <c r="CM27" s="2211"/>
      <c r="CN27" s="2211">
        <f t="shared" si="44"/>
        <v>0</v>
      </c>
      <c r="CO27" s="2212"/>
      <c r="CP27" s="2212"/>
      <c r="CQ27" s="2211"/>
      <c r="CR27" s="2212"/>
      <c r="CS27" s="2212"/>
      <c r="CT27" s="2211"/>
      <c r="CU27" s="2212"/>
      <c r="CV27" s="2212"/>
      <c r="CW27" s="2211"/>
      <c r="CX27" s="2212"/>
      <c r="CY27" s="2212"/>
      <c r="CZ27" s="2211">
        <f t="shared" si="45"/>
        <v>0</v>
      </c>
      <c r="DA27" s="2212"/>
      <c r="DB27" s="2212"/>
      <c r="DC27" s="2211"/>
      <c r="DD27" s="2211">
        <f t="shared" si="46"/>
        <v>0</v>
      </c>
      <c r="DE27" s="2212"/>
      <c r="DF27" s="2212"/>
      <c r="DG27" s="2211">
        <f t="shared" si="47"/>
        <v>0</v>
      </c>
      <c r="DH27" s="2212"/>
      <c r="DI27" s="2212"/>
      <c r="DJ27" s="2211">
        <f t="shared" si="48"/>
        <v>0</v>
      </c>
      <c r="DK27" s="2212"/>
      <c r="DL27" s="2212"/>
      <c r="DM27" s="2211"/>
      <c r="DN27" s="2211">
        <f t="shared" si="49"/>
        <v>0</v>
      </c>
      <c r="DO27" s="2212"/>
      <c r="DP27" s="2212"/>
      <c r="DQ27" s="2212"/>
      <c r="DR27" s="2211"/>
      <c r="DS27" s="2211"/>
      <c r="DT27" s="2211"/>
      <c r="DU27" s="2211"/>
      <c r="DV27" s="2211"/>
      <c r="DW27" s="2211"/>
      <c r="DX27" s="2211"/>
      <c r="DY27" s="2211"/>
      <c r="DZ27" s="2212"/>
      <c r="EA27" s="2212"/>
      <c r="EB27" s="2211"/>
      <c r="EC27" s="2211"/>
      <c r="ED27" s="2215"/>
      <c r="EE27" s="2206">
        <f t="shared" si="53"/>
        <v>585000</v>
      </c>
      <c r="EF27" s="2165">
        <f t="shared" si="24"/>
        <v>0</v>
      </c>
      <c r="EG27" s="2166"/>
      <c r="EH27" s="2209">
        <f t="shared" si="54"/>
        <v>585000</v>
      </c>
      <c r="EI27" s="2166">
        <f t="shared" si="7"/>
        <v>0</v>
      </c>
      <c r="EJ27" s="2209">
        <f t="shared" si="25"/>
        <v>0</v>
      </c>
      <c r="EL27" s="2208"/>
    </row>
    <row r="28" spans="1:142" ht="13.5" customHeight="1" outlineLevel="1">
      <c r="A28" s="2225">
        <v>5162</v>
      </c>
      <c r="B28" s="2198" t="s">
        <v>82</v>
      </c>
      <c r="C28" s="2209">
        <v>564000</v>
      </c>
      <c r="D28" s="2209">
        <v>808545</v>
      </c>
      <c r="E28" s="2209">
        <v>808545</v>
      </c>
      <c r="F28" s="2209">
        <v>808545</v>
      </c>
      <c r="G28" s="2209">
        <v>808545</v>
      </c>
      <c r="H28" s="2209">
        <v>808545</v>
      </c>
      <c r="I28" s="2209">
        <v>808545</v>
      </c>
      <c r="J28" s="2209">
        <v>808545</v>
      </c>
      <c r="K28" s="2209">
        <f t="shared" si="51"/>
        <v>823000</v>
      </c>
      <c r="L28" s="2210"/>
      <c r="M28" s="2211"/>
      <c r="N28" s="2211"/>
      <c r="O28" s="2211"/>
      <c r="P28" s="2211"/>
      <c r="Q28" s="2211"/>
      <c r="R28" s="2211">
        <f>+[2]Zastupitelé!$B$31</f>
        <v>50000</v>
      </c>
      <c r="S28" s="2211"/>
      <c r="T28" s="2211">
        <f t="shared" si="26"/>
        <v>560000</v>
      </c>
      <c r="U28" s="2212">
        <f>+[2]Správa!$D$39</f>
        <v>560000</v>
      </c>
      <c r="V28" s="2213">
        <f>+[2]Správa!$E$39</f>
        <v>0</v>
      </c>
      <c r="W28" s="2211"/>
      <c r="X28" s="2227">
        <f t="shared" si="56"/>
        <v>0</v>
      </c>
      <c r="Y28" s="2211">
        <f>+'[2]Pečovatelská služba'!$B$32</f>
        <v>12000</v>
      </c>
      <c r="Z28" s="2211"/>
      <c r="AA28" s="2211"/>
      <c r="AB28" s="2211">
        <f>+'[2]Městská policie'!$B$49</f>
        <v>83000</v>
      </c>
      <c r="AC28" s="2211"/>
      <c r="AD28" s="2211"/>
      <c r="AE28" s="2211"/>
      <c r="AF28" s="2211">
        <f>+[2]Knihovna!$B$33</f>
        <v>12000</v>
      </c>
      <c r="AG28" s="2211"/>
      <c r="AH28" s="2211"/>
      <c r="AI28" s="2211">
        <f t="shared" si="27"/>
        <v>0</v>
      </c>
      <c r="AJ28" s="2212"/>
      <c r="AK28" s="2212"/>
      <c r="AL28" s="2211">
        <f t="shared" si="28"/>
        <v>44000</v>
      </c>
      <c r="AM28" s="2212">
        <f>+[3]DPS!$D$19</f>
        <v>44000</v>
      </c>
      <c r="AN28" s="2212">
        <f>+[3]DPS!$E$19</f>
        <v>0</v>
      </c>
      <c r="AO28" s="2211">
        <f t="shared" si="29"/>
        <v>0</v>
      </c>
      <c r="AP28" s="2212"/>
      <c r="AQ28" s="2212"/>
      <c r="AR28" s="2228">
        <f>+[2]Hasiči!$B$33</f>
        <v>52000</v>
      </c>
      <c r="AS28" s="2211"/>
      <c r="AT28" s="2211"/>
      <c r="AU28" s="2211">
        <f t="shared" si="30"/>
        <v>0</v>
      </c>
      <c r="AV28" s="2212"/>
      <c r="AW28" s="2212"/>
      <c r="AX28" s="2211">
        <f t="shared" si="31"/>
        <v>0</v>
      </c>
      <c r="AY28" s="2212"/>
      <c r="AZ28" s="2212"/>
      <c r="BA28" s="2211">
        <f t="shared" si="57"/>
        <v>0</v>
      </c>
      <c r="BB28" s="2212"/>
      <c r="BC28" s="2212"/>
      <c r="BD28" s="2211">
        <f t="shared" si="58"/>
        <v>0</v>
      </c>
      <c r="BE28" s="2212"/>
      <c r="BF28" s="2212"/>
      <c r="BG28" s="2211">
        <f t="shared" si="34"/>
        <v>0</v>
      </c>
      <c r="BH28" s="2212"/>
      <c r="BI28" s="2212"/>
      <c r="BJ28" s="2211">
        <f t="shared" si="35"/>
        <v>0</v>
      </c>
      <c r="BK28" s="2212"/>
      <c r="BL28" s="2212"/>
      <c r="BM28" s="2211">
        <f t="shared" si="36"/>
        <v>10000</v>
      </c>
      <c r="BN28" s="2212">
        <f>+[2]č.p.65!$D$18</f>
        <v>10000</v>
      </c>
      <c r="BO28" s="2212">
        <v>0</v>
      </c>
      <c r="BP28" s="2211">
        <f t="shared" si="37"/>
        <v>0</v>
      </c>
      <c r="BQ28" s="2212"/>
      <c r="BR28" s="2212"/>
      <c r="BS28" s="2211">
        <f t="shared" si="38"/>
        <v>0</v>
      </c>
      <c r="BT28" s="2212"/>
      <c r="BU28" s="2212"/>
      <c r="BV28" s="2211">
        <f t="shared" si="39"/>
        <v>0</v>
      </c>
      <c r="BW28" s="2212"/>
      <c r="BX28" s="2212"/>
      <c r="BY28" s="2211">
        <f t="shared" si="40"/>
        <v>0</v>
      </c>
      <c r="BZ28" s="2212"/>
      <c r="CA28" s="2212"/>
      <c r="CB28" s="2211"/>
      <c r="CC28" s="2211">
        <f t="shared" si="41"/>
        <v>0</v>
      </c>
      <c r="CD28" s="2212"/>
      <c r="CE28" s="2212"/>
      <c r="CF28" s="2211"/>
      <c r="CG28" s="2211">
        <f t="shared" si="42"/>
        <v>0</v>
      </c>
      <c r="CH28" s="2212"/>
      <c r="CI28" s="2212"/>
      <c r="CJ28" s="2211">
        <f t="shared" si="43"/>
        <v>0</v>
      </c>
      <c r="CK28" s="2212"/>
      <c r="CL28" s="2212"/>
      <c r="CM28" s="2211"/>
      <c r="CN28" s="2211">
        <f t="shared" si="44"/>
        <v>0</v>
      </c>
      <c r="CO28" s="2212"/>
      <c r="CP28" s="2212"/>
      <c r="CQ28" s="2211"/>
      <c r="CR28" s="2212"/>
      <c r="CS28" s="2212"/>
      <c r="CT28" s="2211"/>
      <c r="CU28" s="2212"/>
      <c r="CV28" s="2212"/>
      <c r="CW28" s="2211"/>
      <c r="CX28" s="2212"/>
      <c r="CY28" s="2212"/>
      <c r="CZ28" s="2211">
        <f t="shared" si="45"/>
        <v>0</v>
      </c>
      <c r="DA28" s="2212"/>
      <c r="DB28" s="2212"/>
      <c r="DC28" s="2211"/>
      <c r="DD28" s="2211">
        <f t="shared" si="46"/>
        <v>0</v>
      </c>
      <c r="DE28" s="2212"/>
      <c r="DF28" s="2212"/>
      <c r="DG28" s="2211">
        <f t="shared" si="47"/>
        <v>0</v>
      </c>
      <c r="DH28" s="2212"/>
      <c r="DI28" s="2212"/>
      <c r="DJ28" s="2211">
        <f t="shared" si="48"/>
        <v>0</v>
      </c>
      <c r="DK28" s="2212"/>
      <c r="DL28" s="2212"/>
      <c r="DM28" s="2211"/>
      <c r="DN28" s="2211">
        <f t="shared" si="49"/>
        <v>0</v>
      </c>
      <c r="DO28" s="2212"/>
      <c r="DP28" s="2212"/>
      <c r="DQ28" s="2212"/>
      <c r="DR28" s="2211"/>
      <c r="DS28" s="2211"/>
      <c r="DT28" s="2211"/>
      <c r="DU28" s="2211"/>
      <c r="DV28" s="2211"/>
      <c r="DW28" s="2211"/>
      <c r="DX28" s="2211"/>
      <c r="DY28" s="2211"/>
      <c r="DZ28" s="2212"/>
      <c r="EA28" s="2212"/>
      <c r="EB28" s="2211"/>
      <c r="EC28" s="2211"/>
      <c r="ED28" s="2215"/>
      <c r="EE28" s="2206">
        <f t="shared" si="53"/>
        <v>823000</v>
      </c>
      <c r="EF28" s="2165">
        <f t="shared" si="24"/>
        <v>0</v>
      </c>
      <c r="EG28" s="2166"/>
      <c r="EH28" s="2209">
        <f t="shared" si="54"/>
        <v>823000</v>
      </c>
      <c r="EI28" s="2166">
        <f t="shared" si="7"/>
        <v>0</v>
      </c>
      <c r="EJ28" s="2209">
        <f t="shared" si="25"/>
        <v>0</v>
      </c>
      <c r="EL28" s="2208"/>
    </row>
    <row r="29" spans="1:142" ht="13.5" customHeight="1" outlineLevel="1">
      <c r="A29" s="2225">
        <v>5163</v>
      </c>
      <c r="B29" s="2198" t="s">
        <v>83</v>
      </c>
      <c r="C29" s="2209">
        <v>920000</v>
      </c>
      <c r="D29" s="2209">
        <v>1220000</v>
      </c>
      <c r="E29" s="2209">
        <v>1220000</v>
      </c>
      <c r="F29" s="2209">
        <v>1307990</v>
      </c>
      <c r="G29" s="2209">
        <v>1307990</v>
      </c>
      <c r="H29" s="2209">
        <v>1307990</v>
      </c>
      <c r="I29" s="2209">
        <v>1307990</v>
      </c>
      <c r="J29" s="2209">
        <v>1307990</v>
      </c>
      <c r="K29" s="2209">
        <f t="shared" si="51"/>
        <v>1415000</v>
      </c>
      <c r="L29" s="2210">
        <f>+[7]Úroky!$B$29</f>
        <v>115000</v>
      </c>
      <c r="M29" s="2211"/>
      <c r="N29" s="2211"/>
      <c r="O29" s="2211"/>
      <c r="P29" s="2211">
        <f>+'[3]Všeob. pokladna'!$B$4</f>
        <v>1300000</v>
      </c>
      <c r="Q29" s="2211"/>
      <c r="R29" s="2211"/>
      <c r="S29" s="2211"/>
      <c r="T29" s="2211">
        <f t="shared" si="26"/>
        <v>0</v>
      </c>
      <c r="U29" s="2212"/>
      <c r="V29" s="2213"/>
      <c r="W29" s="2211"/>
      <c r="X29" s="2227">
        <f t="shared" si="56"/>
        <v>0</v>
      </c>
      <c r="Y29" s="2211"/>
      <c r="Z29" s="2211"/>
      <c r="AA29" s="2211"/>
      <c r="AB29" s="2211"/>
      <c r="AC29" s="2211"/>
      <c r="AD29" s="2211"/>
      <c r="AE29" s="2211"/>
      <c r="AF29" s="2211"/>
      <c r="AG29" s="2211"/>
      <c r="AH29" s="2211"/>
      <c r="AI29" s="2211">
        <f t="shared" si="27"/>
        <v>0</v>
      </c>
      <c r="AJ29" s="2212"/>
      <c r="AK29" s="2212"/>
      <c r="AL29" s="2211">
        <f t="shared" si="28"/>
        <v>0</v>
      </c>
      <c r="AM29" s="2212"/>
      <c r="AN29" s="2212"/>
      <c r="AO29" s="2211">
        <f t="shared" si="29"/>
        <v>0</v>
      </c>
      <c r="AP29" s="2212"/>
      <c r="AQ29" s="2212"/>
      <c r="AR29" s="2228">
        <f>+[2]Hasiči!$B$40</f>
        <v>0</v>
      </c>
      <c r="AS29" s="2211"/>
      <c r="AT29" s="2211"/>
      <c r="AU29" s="2211">
        <f t="shared" si="30"/>
        <v>0</v>
      </c>
      <c r="AV29" s="2212"/>
      <c r="AW29" s="2212"/>
      <c r="AX29" s="2211">
        <f t="shared" si="31"/>
        <v>0</v>
      </c>
      <c r="AY29" s="2212"/>
      <c r="AZ29" s="2212"/>
      <c r="BA29" s="2211">
        <f t="shared" si="57"/>
        <v>0</v>
      </c>
      <c r="BB29" s="2212"/>
      <c r="BC29" s="2212"/>
      <c r="BD29" s="2211">
        <f t="shared" si="58"/>
        <v>0</v>
      </c>
      <c r="BE29" s="2212"/>
      <c r="BF29" s="2212"/>
      <c r="BG29" s="2211">
        <f t="shared" si="34"/>
        <v>0</v>
      </c>
      <c r="BH29" s="2212"/>
      <c r="BI29" s="2212"/>
      <c r="BJ29" s="2211">
        <f t="shared" si="35"/>
        <v>0</v>
      </c>
      <c r="BK29" s="2212"/>
      <c r="BL29" s="2212"/>
      <c r="BM29" s="2211">
        <f t="shared" si="36"/>
        <v>0</v>
      </c>
      <c r="BN29" s="2212"/>
      <c r="BO29" s="2212"/>
      <c r="BP29" s="2211">
        <f t="shared" si="37"/>
        <v>0</v>
      </c>
      <c r="BQ29" s="2212"/>
      <c r="BR29" s="2212"/>
      <c r="BS29" s="2211">
        <f t="shared" si="38"/>
        <v>0</v>
      </c>
      <c r="BT29" s="2212"/>
      <c r="BU29" s="2212"/>
      <c r="BV29" s="2211">
        <f t="shared" si="39"/>
        <v>0</v>
      </c>
      <c r="BW29" s="2212"/>
      <c r="BX29" s="2212"/>
      <c r="BY29" s="2211">
        <f t="shared" si="40"/>
        <v>0</v>
      </c>
      <c r="BZ29" s="2212"/>
      <c r="CA29" s="2212"/>
      <c r="CB29" s="2211"/>
      <c r="CC29" s="2211">
        <f t="shared" si="41"/>
        <v>0</v>
      </c>
      <c r="CD29" s="2212"/>
      <c r="CE29" s="2212"/>
      <c r="CF29" s="2211"/>
      <c r="CG29" s="2211">
        <f t="shared" si="42"/>
        <v>0</v>
      </c>
      <c r="CH29" s="2212"/>
      <c r="CI29" s="2212"/>
      <c r="CJ29" s="2211">
        <f t="shared" si="43"/>
        <v>0</v>
      </c>
      <c r="CK29" s="2212"/>
      <c r="CL29" s="2212"/>
      <c r="CM29" s="2211"/>
      <c r="CN29" s="2211">
        <f t="shared" si="44"/>
        <v>0</v>
      </c>
      <c r="CO29" s="2212"/>
      <c r="CP29" s="2212"/>
      <c r="CQ29" s="2211"/>
      <c r="CR29" s="2212"/>
      <c r="CS29" s="2212"/>
      <c r="CT29" s="2211"/>
      <c r="CU29" s="2212"/>
      <c r="CV29" s="2212"/>
      <c r="CW29" s="2211"/>
      <c r="CX29" s="2212"/>
      <c r="CY29" s="2212"/>
      <c r="CZ29" s="2211">
        <f t="shared" si="45"/>
        <v>0</v>
      </c>
      <c r="DA29" s="2212"/>
      <c r="DB29" s="2212"/>
      <c r="DC29" s="2211"/>
      <c r="DD29" s="2211">
        <f t="shared" si="46"/>
        <v>0</v>
      </c>
      <c r="DE29" s="2212"/>
      <c r="DF29" s="2212"/>
      <c r="DG29" s="2211">
        <f t="shared" si="47"/>
        <v>0</v>
      </c>
      <c r="DH29" s="2212"/>
      <c r="DI29" s="2212"/>
      <c r="DJ29" s="2211">
        <f t="shared" si="48"/>
        <v>0</v>
      </c>
      <c r="DK29" s="2212"/>
      <c r="DL29" s="2212"/>
      <c r="DM29" s="2211"/>
      <c r="DN29" s="2211">
        <f t="shared" si="49"/>
        <v>0</v>
      </c>
      <c r="DO29" s="2212"/>
      <c r="DP29" s="2212"/>
      <c r="DQ29" s="2212"/>
      <c r="DR29" s="2211"/>
      <c r="DS29" s="2211"/>
      <c r="DT29" s="2211"/>
      <c r="DU29" s="2211"/>
      <c r="DV29" s="2211"/>
      <c r="DW29" s="2211"/>
      <c r="DX29" s="2211"/>
      <c r="DY29" s="2211"/>
      <c r="DZ29" s="2212"/>
      <c r="EA29" s="2212"/>
      <c r="EB29" s="2211"/>
      <c r="EC29" s="2211"/>
      <c r="ED29" s="2215"/>
      <c r="EE29" s="2206">
        <f t="shared" si="53"/>
        <v>1415000</v>
      </c>
      <c r="EF29" s="2165">
        <f t="shared" si="24"/>
        <v>0</v>
      </c>
      <c r="EG29" s="2166"/>
      <c r="EH29" s="2209">
        <f t="shared" si="54"/>
        <v>1415000</v>
      </c>
      <c r="EI29" s="2166">
        <f t="shared" si="7"/>
        <v>0</v>
      </c>
      <c r="EJ29" s="2209">
        <f t="shared" si="25"/>
        <v>0</v>
      </c>
      <c r="EL29" s="2208"/>
    </row>
    <row r="30" spans="1:142" ht="13.5" customHeight="1" outlineLevel="1">
      <c r="A30" s="2225">
        <v>5164</v>
      </c>
      <c r="B30" s="2198" t="s">
        <v>84</v>
      </c>
      <c r="C30" s="2209">
        <v>1538137</v>
      </c>
      <c r="D30" s="2209">
        <v>1699563</v>
      </c>
      <c r="E30" s="2209">
        <v>1683355</v>
      </c>
      <c r="F30" s="2209">
        <v>1583355</v>
      </c>
      <c r="G30" s="2209">
        <v>1583355</v>
      </c>
      <c r="H30" s="2209">
        <v>1623355</v>
      </c>
      <c r="I30" s="2209">
        <v>1623355</v>
      </c>
      <c r="J30" s="2209">
        <v>1623355</v>
      </c>
      <c r="K30" s="2209">
        <f t="shared" si="51"/>
        <v>1622600</v>
      </c>
      <c r="L30" s="2210"/>
      <c r="M30" s="2211"/>
      <c r="N30" s="2211"/>
      <c r="O30" s="2211"/>
      <c r="P30" s="2211">
        <f>+'[3]Všeob. pokladna'!$B$11</f>
        <v>100</v>
      </c>
      <c r="Q30" s="2211"/>
      <c r="R30" s="2211">
        <f>+[2]Zastupitelé!$B$37</f>
        <v>0</v>
      </c>
      <c r="S30" s="2211"/>
      <c r="T30" s="2211">
        <f t="shared" si="26"/>
        <v>0</v>
      </c>
      <c r="U30" s="2212"/>
      <c r="V30" s="2213"/>
      <c r="W30" s="2211"/>
      <c r="X30" s="2227">
        <f t="shared" si="56"/>
        <v>0</v>
      </c>
      <c r="Y30" s="2211"/>
      <c r="Z30" s="2211"/>
      <c r="AA30" s="2211"/>
      <c r="AB30" s="2211"/>
      <c r="AC30" s="2211"/>
      <c r="AD30" s="2211"/>
      <c r="AE30" s="2211"/>
      <c r="AF30" s="2211">
        <f>+[2]Knihovna!$B$40</f>
        <v>192000</v>
      </c>
      <c r="AG30" s="2211"/>
      <c r="AH30" s="2211">
        <f>+[2]Kultura!$B$21</f>
        <v>88000</v>
      </c>
      <c r="AI30" s="2211">
        <f t="shared" si="27"/>
        <v>0</v>
      </c>
      <c r="AJ30" s="2212">
        <f>+[3]Byty!$D$18</f>
        <v>0</v>
      </c>
      <c r="AK30" s="2212">
        <f>+[3]Byty!$E$18</f>
        <v>0</v>
      </c>
      <c r="AL30" s="2211">
        <f t="shared" si="28"/>
        <v>0</v>
      </c>
      <c r="AM30" s="2212"/>
      <c r="AN30" s="2212"/>
      <c r="AO30" s="2211">
        <f t="shared" si="29"/>
        <v>0</v>
      </c>
      <c r="AP30" s="2212"/>
      <c r="AQ30" s="2212"/>
      <c r="AR30" s="2211"/>
      <c r="AS30" s="2211"/>
      <c r="AT30" s="2211"/>
      <c r="AU30" s="2211">
        <f t="shared" si="30"/>
        <v>0</v>
      </c>
      <c r="AV30" s="2212"/>
      <c r="AW30" s="2212"/>
      <c r="AX30" s="2211">
        <f t="shared" si="31"/>
        <v>0</v>
      </c>
      <c r="AY30" s="2212">
        <f>+[3]koupaliště!$D$12</f>
        <v>0</v>
      </c>
      <c r="AZ30" s="2212">
        <f>+[3]koupaliště!$E$12</f>
        <v>0</v>
      </c>
      <c r="BA30" s="2211">
        <f t="shared" si="57"/>
        <v>0</v>
      </c>
      <c r="BB30" s="2212">
        <f>+[3]Hřiště!$D$4</f>
        <v>0</v>
      </c>
      <c r="BC30" s="2212">
        <f>+[3]Hřiště!$E$4</f>
        <v>0</v>
      </c>
      <c r="BD30" s="2211">
        <f t="shared" si="58"/>
        <v>0</v>
      </c>
      <c r="BE30" s="2212">
        <f>+[3]Spolky!$D$4</f>
        <v>0</v>
      </c>
      <c r="BF30" s="2212">
        <f>+[3]Spolky!$E$4</f>
        <v>0</v>
      </c>
      <c r="BG30" s="2211">
        <f t="shared" si="34"/>
        <v>900000</v>
      </c>
      <c r="BH30" s="2212">
        <f>+[7]ZŠ!$B$25</f>
        <v>900000</v>
      </c>
      <c r="BI30" s="2212">
        <v>0</v>
      </c>
      <c r="BJ30" s="2211">
        <f t="shared" si="35"/>
        <v>0</v>
      </c>
      <c r="BK30" s="2212"/>
      <c r="BL30" s="2212"/>
      <c r="BM30" s="2211">
        <f t="shared" si="36"/>
        <v>0</v>
      </c>
      <c r="BN30" s="2212"/>
      <c r="BO30" s="2212"/>
      <c r="BP30" s="2211">
        <f t="shared" si="37"/>
        <v>0</v>
      </c>
      <c r="BQ30" s="2212"/>
      <c r="BR30" s="2212"/>
      <c r="BS30" s="2211">
        <f t="shared" si="38"/>
        <v>0</v>
      </c>
      <c r="BT30" s="2212"/>
      <c r="BU30" s="2212"/>
      <c r="BV30" s="2211">
        <f t="shared" si="39"/>
        <v>0</v>
      </c>
      <c r="BW30" s="2212"/>
      <c r="BX30" s="2212"/>
      <c r="BY30" s="2211">
        <f t="shared" si="40"/>
        <v>0</v>
      </c>
      <c r="BZ30" s="2212"/>
      <c r="CA30" s="2212"/>
      <c r="CB30" s="2211"/>
      <c r="CC30" s="2211">
        <f t="shared" si="41"/>
        <v>0</v>
      </c>
      <c r="CD30" s="2212"/>
      <c r="CE30" s="2212"/>
      <c r="CF30" s="2211"/>
      <c r="CG30" s="2211">
        <f t="shared" si="42"/>
        <v>0</v>
      </c>
      <c r="CH30" s="2212"/>
      <c r="CI30" s="2212"/>
      <c r="CJ30" s="2211">
        <f t="shared" si="43"/>
        <v>91000</v>
      </c>
      <c r="CK30" s="2230">
        <f>+[3]Silnice!$D$19+'[4]Silnice-nájem'!$B$4</f>
        <v>91000</v>
      </c>
      <c r="CL30" s="2212">
        <f>+[3]Silnice!$E$19</f>
        <v>0</v>
      </c>
      <c r="CM30" s="2211"/>
      <c r="CN30" s="2211">
        <f t="shared" si="44"/>
        <v>0</v>
      </c>
      <c r="CO30" s="2212"/>
      <c r="CP30" s="2212"/>
      <c r="CQ30" s="2211"/>
      <c r="CR30" s="2212"/>
      <c r="CS30" s="2212"/>
      <c r="CT30" s="2211"/>
      <c r="CU30" s="2212"/>
      <c r="CV30" s="2212"/>
      <c r="CW30" s="2211"/>
      <c r="CX30" s="2212"/>
      <c r="CY30" s="2212"/>
      <c r="CZ30" s="2211">
        <f t="shared" si="45"/>
        <v>0</v>
      </c>
      <c r="DA30" s="2212"/>
      <c r="DB30" s="2212"/>
      <c r="DC30" s="2211"/>
      <c r="DD30" s="2211">
        <f t="shared" si="46"/>
        <v>0</v>
      </c>
      <c r="DE30" s="2212"/>
      <c r="DF30" s="2212"/>
      <c r="DG30" s="2211">
        <f t="shared" si="47"/>
        <v>0</v>
      </c>
      <c r="DH30" s="2212"/>
      <c r="DI30" s="2212"/>
      <c r="DJ30" s="2211">
        <f t="shared" si="48"/>
        <v>0</v>
      </c>
      <c r="DK30" s="2212"/>
      <c r="DL30" s="2212"/>
      <c r="DM30" s="2211"/>
      <c r="DN30" s="2211">
        <f t="shared" si="49"/>
        <v>0</v>
      </c>
      <c r="DO30" s="2212"/>
      <c r="DP30" s="2212"/>
      <c r="DQ30" s="2212"/>
      <c r="DR30" s="2211">
        <f>+'[6]Rybníky 3749-2'!$B$13+[4]Rybníky!$B$4</f>
        <v>351500</v>
      </c>
      <c r="DS30" s="2211"/>
      <c r="DT30" s="2211"/>
      <c r="DU30" s="2211"/>
      <c r="DV30" s="2211"/>
      <c r="DW30" s="2211"/>
      <c r="DX30" s="2211"/>
      <c r="DY30" s="2211"/>
      <c r="DZ30" s="2212"/>
      <c r="EA30" s="2212"/>
      <c r="EB30" s="2211"/>
      <c r="EC30" s="2211"/>
      <c r="ED30" s="2215"/>
      <c r="EE30" s="2206">
        <f t="shared" si="53"/>
        <v>1622600</v>
      </c>
      <c r="EF30" s="2165">
        <f t="shared" si="24"/>
        <v>0</v>
      </c>
      <c r="EG30" s="2166"/>
      <c r="EH30" s="2209">
        <f t="shared" si="54"/>
        <v>1622600</v>
      </c>
      <c r="EI30" s="2166">
        <f t="shared" si="7"/>
        <v>0</v>
      </c>
      <c r="EJ30" s="2209">
        <f t="shared" si="25"/>
        <v>0</v>
      </c>
      <c r="EL30" s="2208"/>
    </row>
    <row r="31" spans="1:142" ht="13.5" customHeight="1" outlineLevel="1">
      <c r="A31" s="2225">
        <v>5166</v>
      </c>
      <c r="B31" s="2198" t="s">
        <v>85</v>
      </c>
      <c r="C31" s="2209">
        <v>700000</v>
      </c>
      <c r="D31" s="2209">
        <v>800000</v>
      </c>
      <c r="E31" s="2209">
        <v>800000</v>
      </c>
      <c r="F31" s="2209">
        <v>800000</v>
      </c>
      <c r="G31" s="2209">
        <v>800000</v>
      </c>
      <c r="H31" s="2209">
        <v>800000</v>
      </c>
      <c r="I31" s="2209">
        <v>800000</v>
      </c>
      <c r="J31" s="2209">
        <v>800000</v>
      </c>
      <c r="K31" s="2209">
        <f t="shared" si="51"/>
        <v>640000</v>
      </c>
      <c r="L31" s="2210"/>
      <c r="M31" s="2211"/>
      <c r="N31" s="2211"/>
      <c r="O31" s="2211"/>
      <c r="P31" s="2211"/>
      <c r="Q31" s="2211"/>
      <c r="R31" s="2211"/>
      <c r="S31" s="2211"/>
      <c r="T31" s="2211">
        <f t="shared" si="26"/>
        <v>640000</v>
      </c>
      <c r="U31" s="2235">
        <f>+[2]Správa!$D$46</f>
        <v>640000</v>
      </c>
      <c r="V31" s="2213">
        <f>+[2]Správa!$E$46</f>
        <v>0</v>
      </c>
      <c r="W31" s="2211"/>
      <c r="X31" s="2227">
        <f t="shared" si="56"/>
        <v>0</v>
      </c>
      <c r="Y31" s="2211"/>
      <c r="Z31" s="2211"/>
      <c r="AA31" s="2211"/>
      <c r="AB31" s="2211"/>
      <c r="AC31" s="2211"/>
      <c r="AD31" s="2211"/>
      <c r="AE31" s="2211"/>
      <c r="AF31" s="2211"/>
      <c r="AG31" s="2211"/>
      <c r="AH31" s="2211"/>
      <c r="AI31" s="2211">
        <f t="shared" si="27"/>
        <v>0</v>
      </c>
      <c r="AJ31" s="2212"/>
      <c r="AK31" s="2212"/>
      <c r="AL31" s="2211">
        <f t="shared" si="28"/>
        <v>0</v>
      </c>
      <c r="AM31" s="2212"/>
      <c r="AN31" s="2212"/>
      <c r="AO31" s="2211">
        <f t="shared" si="29"/>
        <v>0</v>
      </c>
      <c r="AP31" s="2212"/>
      <c r="AQ31" s="2212"/>
      <c r="AR31" s="2211"/>
      <c r="AS31" s="2211"/>
      <c r="AT31" s="2211"/>
      <c r="AU31" s="2211">
        <f t="shared" si="30"/>
        <v>0</v>
      </c>
      <c r="AV31" s="2212"/>
      <c r="AW31" s="2212"/>
      <c r="AX31" s="2211">
        <f t="shared" si="31"/>
        <v>0</v>
      </c>
      <c r="AY31" s="2212"/>
      <c r="AZ31" s="2212"/>
      <c r="BA31" s="2211">
        <f t="shared" si="57"/>
        <v>0</v>
      </c>
      <c r="BB31" s="2212"/>
      <c r="BC31" s="2212"/>
      <c r="BD31" s="2211">
        <f t="shared" si="58"/>
        <v>0</v>
      </c>
      <c r="BE31" s="2212"/>
      <c r="BF31" s="2212"/>
      <c r="BG31" s="2211">
        <f t="shared" si="34"/>
        <v>0</v>
      </c>
      <c r="BH31" s="2212"/>
      <c r="BI31" s="2212"/>
      <c r="BJ31" s="2211">
        <f t="shared" si="35"/>
        <v>0</v>
      </c>
      <c r="BK31" s="2212"/>
      <c r="BL31" s="2212"/>
      <c r="BM31" s="2211">
        <f t="shared" si="36"/>
        <v>0</v>
      </c>
      <c r="BN31" s="2212"/>
      <c r="BO31" s="2212"/>
      <c r="BP31" s="2211">
        <f t="shared" si="37"/>
        <v>0</v>
      </c>
      <c r="BQ31" s="2212"/>
      <c r="BR31" s="2212"/>
      <c r="BS31" s="2211">
        <f t="shared" si="38"/>
        <v>0</v>
      </c>
      <c r="BT31" s="2212"/>
      <c r="BU31" s="2212"/>
      <c r="BV31" s="2211">
        <f t="shared" si="39"/>
        <v>0</v>
      </c>
      <c r="BW31" s="2212"/>
      <c r="BX31" s="2212"/>
      <c r="BY31" s="2211">
        <f t="shared" si="40"/>
        <v>0</v>
      </c>
      <c r="BZ31" s="2212"/>
      <c r="CA31" s="2212"/>
      <c r="CB31" s="2211"/>
      <c r="CC31" s="2211">
        <f t="shared" si="41"/>
        <v>0</v>
      </c>
      <c r="CD31" s="2212"/>
      <c r="CE31" s="2212"/>
      <c r="CF31" s="2211"/>
      <c r="CG31" s="2211">
        <f t="shared" si="42"/>
        <v>0</v>
      </c>
      <c r="CH31" s="2212"/>
      <c r="CI31" s="2212"/>
      <c r="CJ31" s="2211">
        <f t="shared" si="43"/>
        <v>0</v>
      </c>
      <c r="CK31" s="2212"/>
      <c r="CL31" s="2212"/>
      <c r="CM31" s="2211"/>
      <c r="CN31" s="2211">
        <f t="shared" si="44"/>
        <v>0</v>
      </c>
      <c r="CO31" s="2212"/>
      <c r="CP31" s="2212"/>
      <c r="CQ31" s="2211"/>
      <c r="CR31" s="2212"/>
      <c r="CS31" s="2212"/>
      <c r="CT31" s="2211"/>
      <c r="CU31" s="2212"/>
      <c r="CV31" s="2212"/>
      <c r="CW31" s="2211"/>
      <c r="CX31" s="2212"/>
      <c r="CY31" s="2212"/>
      <c r="CZ31" s="2211">
        <f t="shared" si="45"/>
        <v>0</v>
      </c>
      <c r="DA31" s="2212"/>
      <c r="DB31" s="2212"/>
      <c r="DC31" s="2211"/>
      <c r="DD31" s="2211">
        <f t="shared" si="46"/>
        <v>0</v>
      </c>
      <c r="DE31" s="2212"/>
      <c r="DF31" s="2212"/>
      <c r="DG31" s="2211">
        <f t="shared" si="47"/>
        <v>0</v>
      </c>
      <c r="DH31" s="2212"/>
      <c r="DI31" s="2212"/>
      <c r="DJ31" s="2211">
        <f t="shared" si="48"/>
        <v>0</v>
      </c>
      <c r="DK31" s="2212"/>
      <c r="DL31" s="2212"/>
      <c r="DM31" s="2211"/>
      <c r="DN31" s="2211">
        <f t="shared" si="49"/>
        <v>0</v>
      </c>
      <c r="DO31" s="2212"/>
      <c r="DP31" s="2212"/>
      <c r="DQ31" s="2212"/>
      <c r="DR31" s="2211"/>
      <c r="DS31" s="2211"/>
      <c r="DT31" s="2211"/>
      <c r="DU31" s="2211"/>
      <c r="DV31" s="2211"/>
      <c r="DW31" s="2211"/>
      <c r="DX31" s="2211"/>
      <c r="DY31" s="2211"/>
      <c r="DZ31" s="2212"/>
      <c r="EA31" s="2212"/>
      <c r="EB31" s="2211"/>
      <c r="EC31" s="2211"/>
      <c r="ED31" s="2215"/>
      <c r="EE31" s="2206">
        <f t="shared" si="53"/>
        <v>640000</v>
      </c>
      <c r="EF31" s="2165">
        <f t="shared" si="24"/>
        <v>0</v>
      </c>
      <c r="EG31" s="2166"/>
      <c r="EH31" s="2209">
        <f t="shared" si="54"/>
        <v>640000</v>
      </c>
      <c r="EI31" s="2166">
        <f t="shared" si="7"/>
        <v>0</v>
      </c>
      <c r="EJ31" s="2209">
        <f t="shared" si="25"/>
        <v>0</v>
      </c>
      <c r="EL31" s="2208"/>
    </row>
    <row r="32" spans="1:142" ht="13.5" customHeight="1" outlineLevel="1">
      <c r="A32" s="2225">
        <v>5167</v>
      </c>
      <c r="B32" s="2198" t="s">
        <v>86</v>
      </c>
      <c r="C32" s="2209">
        <v>375000</v>
      </c>
      <c r="D32" s="2209">
        <v>912900</v>
      </c>
      <c r="E32" s="2209">
        <v>912900</v>
      </c>
      <c r="F32" s="2209">
        <v>912900</v>
      </c>
      <c r="G32" s="2209">
        <v>912900</v>
      </c>
      <c r="H32" s="2209">
        <v>912900</v>
      </c>
      <c r="I32" s="2209">
        <v>912900</v>
      </c>
      <c r="J32" s="2209">
        <v>912900</v>
      </c>
      <c r="K32" s="2209">
        <f t="shared" si="51"/>
        <v>397000</v>
      </c>
      <c r="L32" s="2210"/>
      <c r="M32" s="2211"/>
      <c r="N32" s="2211"/>
      <c r="O32" s="2211"/>
      <c r="P32" s="2211"/>
      <c r="Q32" s="2211"/>
      <c r="R32" s="2211">
        <f>+[2]Zastupitelé!$B$44</f>
        <v>12000</v>
      </c>
      <c r="S32" s="2211"/>
      <c r="T32" s="2211">
        <f t="shared" si="26"/>
        <v>94000</v>
      </c>
      <c r="U32" s="2235">
        <f>+[2]Správa!$D$53</f>
        <v>94000</v>
      </c>
      <c r="V32" s="2213">
        <f>+[2]Správa!$E$53</f>
        <v>0</v>
      </c>
      <c r="W32" s="2211"/>
      <c r="X32" s="2227">
        <f t="shared" si="56"/>
        <v>0</v>
      </c>
      <c r="Y32" s="2211">
        <f>+'[2]Pečovatelská služba'!$B$45</f>
        <v>27000</v>
      </c>
      <c r="Z32" s="2211"/>
      <c r="AA32" s="2211"/>
      <c r="AB32" s="2211">
        <f>+'[2]Městská policie'!$B$70</f>
        <v>212000</v>
      </c>
      <c r="AC32" s="2211"/>
      <c r="AD32" s="2211"/>
      <c r="AE32" s="2211"/>
      <c r="AF32" s="2211">
        <f>+[2]Knihovna!$B$54</f>
        <v>2000</v>
      </c>
      <c r="AG32" s="2211"/>
      <c r="AH32" s="2211"/>
      <c r="AI32" s="2211">
        <f t="shared" si="27"/>
        <v>0</v>
      </c>
      <c r="AJ32" s="2212"/>
      <c r="AK32" s="2212"/>
      <c r="AL32" s="2211">
        <f t="shared" si="28"/>
        <v>0</v>
      </c>
      <c r="AM32" s="2212"/>
      <c r="AN32" s="2212"/>
      <c r="AO32" s="2211">
        <f t="shared" si="29"/>
        <v>0</v>
      </c>
      <c r="AP32" s="2212"/>
      <c r="AQ32" s="2212"/>
      <c r="AR32" s="2228">
        <f>+[2]Hasiči!$B$47</f>
        <v>50000</v>
      </c>
      <c r="AS32" s="2211"/>
      <c r="AT32" s="2211"/>
      <c r="AU32" s="2211">
        <f t="shared" si="30"/>
        <v>0</v>
      </c>
      <c r="AV32" s="2212"/>
      <c r="AW32" s="2212"/>
      <c r="AX32" s="2211">
        <f t="shared" si="31"/>
        <v>0</v>
      </c>
      <c r="AY32" s="2212"/>
      <c r="AZ32" s="2212"/>
      <c r="BA32" s="2211">
        <f t="shared" si="57"/>
        <v>0</v>
      </c>
      <c r="BB32" s="2212"/>
      <c r="BC32" s="2212"/>
      <c r="BD32" s="2211">
        <f t="shared" si="58"/>
        <v>0</v>
      </c>
      <c r="BE32" s="2212"/>
      <c r="BF32" s="2212"/>
      <c r="BG32" s="2211">
        <f t="shared" si="34"/>
        <v>0</v>
      </c>
      <c r="BH32" s="2212"/>
      <c r="BI32" s="2212"/>
      <c r="BJ32" s="2211">
        <f t="shared" si="35"/>
        <v>0</v>
      </c>
      <c r="BK32" s="2212"/>
      <c r="BL32" s="2212"/>
      <c r="BM32" s="2211">
        <f t="shared" si="36"/>
        <v>0</v>
      </c>
      <c r="BN32" s="2212"/>
      <c r="BO32" s="2212"/>
      <c r="BP32" s="2211">
        <f t="shared" si="37"/>
        <v>0</v>
      </c>
      <c r="BQ32" s="2212"/>
      <c r="BR32" s="2212"/>
      <c r="BS32" s="2211">
        <f t="shared" si="38"/>
        <v>0</v>
      </c>
      <c r="BT32" s="2212"/>
      <c r="BU32" s="2212"/>
      <c r="BV32" s="2211">
        <f t="shared" si="39"/>
        <v>0</v>
      </c>
      <c r="BW32" s="2212"/>
      <c r="BX32" s="2212"/>
      <c r="BY32" s="2211">
        <f t="shared" si="40"/>
        <v>0</v>
      </c>
      <c r="BZ32" s="2212"/>
      <c r="CA32" s="2212"/>
      <c r="CB32" s="2211"/>
      <c r="CC32" s="2211">
        <f t="shared" si="41"/>
        <v>0</v>
      </c>
      <c r="CD32" s="2212"/>
      <c r="CE32" s="2212"/>
      <c r="CF32" s="2211"/>
      <c r="CG32" s="2211">
        <f t="shared" si="42"/>
        <v>0</v>
      </c>
      <c r="CH32" s="2212"/>
      <c r="CI32" s="2212"/>
      <c r="CJ32" s="2211">
        <f t="shared" si="43"/>
        <v>0</v>
      </c>
      <c r="CK32" s="2212"/>
      <c r="CL32" s="2212"/>
      <c r="CM32" s="2211"/>
      <c r="CN32" s="2211">
        <f t="shared" si="44"/>
        <v>0</v>
      </c>
      <c r="CO32" s="2212"/>
      <c r="CP32" s="2212"/>
      <c r="CQ32" s="2211"/>
      <c r="CR32" s="2212"/>
      <c r="CS32" s="2212"/>
      <c r="CT32" s="2211"/>
      <c r="CU32" s="2212"/>
      <c r="CV32" s="2212"/>
      <c r="CW32" s="2211"/>
      <c r="CX32" s="2212"/>
      <c r="CY32" s="2212"/>
      <c r="CZ32" s="2211">
        <f t="shared" si="45"/>
        <v>0</v>
      </c>
      <c r="DA32" s="2212"/>
      <c r="DB32" s="2212"/>
      <c r="DC32" s="2211"/>
      <c r="DD32" s="2211">
        <f t="shared" si="46"/>
        <v>0</v>
      </c>
      <c r="DE32" s="2212"/>
      <c r="DF32" s="2212"/>
      <c r="DG32" s="2211">
        <f t="shared" si="47"/>
        <v>0</v>
      </c>
      <c r="DH32" s="2212"/>
      <c r="DI32" s="2212"/>
      <c r="DJ32" s="2211">
        <f t="shared" si="48"/>
        <v>0</v>
      </c>
      <c r="DK32" s="2212"/>
      <c r="DL32" s="2212"/>
      <c r="DM32" s="2211"/>
      <c r="DN32" s="2211">
        <f t="shared" si="49"/>
        <v>0</v>
      </c>
      <c r="DO32" s="2212"/>
      <c r="DP32" s="2212"/>
      <c r="DQ32" s="2212"/>
      <c r="DR32" s="2211"/>
      <c r="DS32" s="2211"/>
      <c r="DT32" s="2211"/>
      <c r="DU32" s="2211"/>
      <c r="DV32" s="2211"/>
      <c r="DW32" s="2211"/>
      <c r="DX32" s="2211"/>
      <c r="DY32" s="2211"/>
      <c r="DZ32" s="2212"/>
      <c r="EA32" s="2212"/>
      <c r="EB32" s="2211"/>
      <c r="EC32" s="2211"/>
      <c r="ED32" s="2215"/>
      <c r="EE32" s="2206">
        <f t="shared" si="53"/>
        <v>397000</v>
      </c>
      <c r="EF32" s="2165">
        <f t="shared" si="24"/>
        <v>0</v>
      </c>
      <c r="EG32" s="2166"/>
      <c r="EH32" s="2209">
        <f t="shared" si="54"/>
        <v>397000</v>
      </c>
      <c r="EI32" s="2166">
        <f t="shared" si="7"/>
        <v>0</v>
      </c>
      <c r="EJ32" s="2209">
        <f t="shared" si="25"/>
        <v>0</v>
      </c>
      <c r="EL32" s="2208"/>
    </row>
    <row r="33" spans="1:142" ht="13.5" customHeight="1" outlineLevel="1">
      <c r="A33" s="2225">
        <v>5168</v>
      </c>
      <c r="B33" s="2198" t="s">
        <v>87</v>
      </c>
      <c r="C33" s="2209">
        <v>615000</v>
      </c>
      <c r="D33" s="2209">
        <v>915000</v>
      </c>
      <c r="E33" s="2209">
        <v>965000</v>
      </c>
      <c r="F33" s="2209">
        <v>967420</v>
      </c>
      <c r="G33" s="2209">
        <v>967420</v>
      </c>
      <c r="H33" s="2209">
        <v>967420</v>
      </c>
      <c r="I33" s="2209">
        <v>967420</v>
      </c>
      <c r="J33" s="2209">
        <v>967420</v>
      </c>
      <c r="K33" s="2209">
        <f t="shared" si="51"/>
        <v>188000</v>
      </c>
      <c r="L33" s="2210"/>
      <c r="M33" s="2211"/>
      <c r="N33" s="2211"/>
      <c r="O33" s="2211"/>
      <c r="P33" s="2211">
        <f>+'[3]Všeob. pokladna'!$B$18</f>
        <v>5000</v>
      </c>
      <c r="Q33" s="2211"/>
      <c r="R33" s="2211"/>
      <c r="S33" s="2211"/>
      <c r="T33" s="2211">
        <f t="shared" si="26"/>
        <v>0</v>
      </c>
      <c r="U33" s="2212"/>
      <c r="V33" s="2213"/>
      <c r="W33" s="2211"/>
      <c r="X33" s="2227">
        <f t="shared" si="56"/>
        <v>0</v>
      </c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>
        <f t="shared" si="27"/>
        <v>0</v>
      </c>
      <c r="AJ33" s="2212"/>
      <c r="AK33" s="2212"/>
      <c r="AL33" s="2211">
        <f t="shared" si="28"/>
        <v>0</v>
      </c>
      <c r="AM33" s="2212"/>
      <c r="AN33" s="2212"/>
      <c r="AO33" s="2211">
        <f t="shared" si="29"/>
        <v>0</v>
      </c>
      <c r="AP33" s="2212"/>
      <c r="AQ33" s="2212"/>
      <c r="AR33" s="2211"/>
      <c r="AS33" s="2211"/>
      <c r="AT33" s="2211"/>
      <c r="AU33" s="2211">
        <f t="shared" si="30"/>
        <v>0</v>
      </c>
      <c r="AV33" s="2212"/>
      <c r="AW33" s="2212"/>
      <c r="AX33" s="2211">
        <f t="shared" si="31"/>
        <v>0</v>
      </c>
      <c r="AY33" s="2212"/>
      <c r="AZ33" s="2212"/>
      <c r="BA33" s="2211">
        <f t="shared" si="57"/>
        <v>0</v>
      </c>
      <c r="BB33" s="2212"/>
      <c r="BC33" s="2212"/>
      <c r="BD33" s="2211">
        <f t="shared" si="58"/>
        <v>0</v>
      </c>
      <c r="BE33" s="2212"/>
      <c r="BF33" s="2212"/>
      <c r="BG33" s="2211">
        <f t="shared" si="34"/>
        <v>0</v>
      </c>
      <c r="BH33" s="2212"/>
      <c r="BI33" s="2212"/>
      <c r="BJ33" s="2211">
        <f t="shared" si="35"/>
        <v>0</v>
      </c>
      <c r="BK33" s="2212"/>
      <c r="BL33" s="2212"/>
      <c r="BM33" s="2211">
        <f t="shared" si="36"/>
        <v>0</v>
      </c>
      <c r="BN33" s="2212"/>
      <c r="BO33" s="2212"/>
      <c r="BP33" s="2211">
        <f t="shared" si="37"/>
        <v>0</v>
      </c>
      <c r="BQ33" s="2212"/>
      <c r="BR33" s="2212"/>
      <c r="BS33" s="2211">
        <f t="shared" si="38"/>
        <v>0</v>
      </c>
      <c r="BT33" s="2212"/>
      <c r="BU33" s="2212"/>
      <c r="BV33" s="2211">
        <f t="shared" si="39"/>
        <v>0</v>
      </c>
      <c r="BW33" s="2212"/>
      <c r="BX33" s="2212"/>
      <c r="BY33" s="2211">
        <f t="shared" si="40"/>
        <v>0</v>
      </c>
      <c r="BZ33" s="2212"/>
      <c r="CA33" s="2212"/>
      <c r="CB33" s="2211"/>
      <c r="CC33" s="2211">
        <f t="shared" si="41"/>
        <v>0</v>
      </c>
      <c r="CD33" s="2212"/>
      <c r="CE33" s="2212"/>
      <c r="CF33" s="2211">
        <f>+'[5]Územní plán 3635'!$B$12</f>
        <v>180000</v>
      </c>
      <c r="CG33" s="2211">
        <f t="shared" si="42"/>
        <v>0</v>
      </c>
      <c r="CH33" s="2212"/>
      <c r="CI33" s="2212"/>
      <c r="CJ33" s="2211">
        <f t="shared" si="43"/>
        <v>0</v>
      </c>
      <c r="CK33" s="2212"/>
      <c r="CL33" s="2212"/>
      <c r="CM33" s="2211"/>
      <c r="CN33" s="2211">
        <f t="shared" si="44"/>
        <v>0</v>
      </c>
      <c r="CO33" s="2212"/>
      <c r="CP33" s="2212"/>
      <c r="CQ33" s="2211"/>
      <c r="CR33" s="2212"/>
      <c r="CS33" s="2212"/>
      <c r="CT33" s="2211"/>
      <c r="CU33" s="2212"/>
      <c r="CV33" s="2212"/>
      <c r="CW33" s="2211"/>
      <c r="CX33" s="2212"/>
      <c r="CY33" s="2212"/>
      <c r="CZ33" s="2211">
        <f t="shared" si="45"/>
        <v>0</v>
      </c>
      <c r="DA33" s="2212"/>
      <c r="DB33" s="2212"/>
      <c r="DC33" s="2211"/>
      <c r="DD33" s="2211">
        <f t="shared" si="46"/>
        <v>0</v>
      </c>
      <c r="DE33" s="2212"/>
      <c r="DF33" s="2212"/>
      <c r="DG33" s="2211">
        <f t="shared" si="47"/>
        <v>0</v>
      </c>
      <c r="DH33" s="2212"/>
      <c r="DI33" s="2212"/>
      <c r="DJ33" s="2211">
        <f t="shared" si="48"/>
        <v>0</v>
      </c>
      <c r="DK33" s="2212"/>
      <c r="DL33" s="2212"/>
      <c r="DM33" s="2211"/>
      <c r="DN33" s="2211">
        <f>+DO33+DP33+DQ33</f>
        <v>3000</v>
      </c>
      <c r="DO33" s="2212">
        <f>+'[5]Příroda 3749'!$B$12</f>
        <v>3000</v>
      </c>
      <c r="DP33" s="2212"/>
      <c r="DQ33" s="2212"/>
      <c r="DR33" s="2211"/>
      <c r="DS33" s="2211"/>
      <c r="DT33" s="2211"/>
      <c r="DU33" s="2211"/>
      <c r="DV33" s="2211"/>
      <c r="DW33" s="2211"/>
      <c r="DX33" s="2211"/>
      <c r="DY33" s="2211"/>
      <c r="DZ33" s="2212"/>
      <c r="EA33" s="2212"/>
      <c r="EB33" s="2211"/>
      <c r="EC33" s="2211"/>
      <c r="ED33" s="2215"/>
      <c r="EE33" s="2206">
        <f t="shared" si="53"/>
        <v>188000</v>
      </c>
      <c r="EF33" s="2165">
        <f>EE33-K33</f>
        <v>0</v>
      </c>
      <c r="EG33" s="2166"/>
      <c r="EH33" s="2209">
        <f t="shared" si="54"/>
        <v>188000</v>
      </c>
      <c r="EI33" s="2166">
        <f t="shared" si="7"/>
        <v>0</v>
      </c>
      <c r="EJ33" s="2209">
        <f t="shared" si="25"/>
        <v>0</v>
      </c>
      <c r="EL33" s="2208"/>
    </row>
    <row r="34" spans="1:142" ht="13.5" customHeight="1" outlineLevel="1">
      <c r="A34" s="2225">
        <v>5169</v>
      </c>
      <c r="B34" s="2198" t="s">
        <v>88</v>
      </c>
      <c r="C34" s="2209">
        <v>18979100</v>
      </c>
      <c r="D34" s="2209">
        <v>22138600</v>
      </c>
      <c r="E34" s="2209">
        <v>22388600</v>
      </c>
      <c r="F34" s="2209">
        <v>23057600</v>
      </c>
      <c r="G34" s="2209">
        <v>23057600</v>
      </c>
      <c r="H34" s="2209">
        <v>26481700</v>
      </c>
      <c r="I34" s="2209">
        <v>26481700</v>
      </c>
      <c r="J34" s="2209">
        <v>26471700</v>
      </c>
      <c r="K34" s="2209">
        <f>SUM(L34:T34)+SUM(Y34:AI34)+AL34+AO34+SUM(AR34:AU34)+AX34+BG34+BM34+BP34+BS34+BV34+BY34+CB34+CC34+CF34+CG34+CJ34+SUM(CM34:CN34)+CW34+CZ34+DC34+DD34+DG34+DJ34+DM34+DN34+SUM(DR34:DY34)+CQ34+CT34+SUM(EB34:ED34)+W34+BA34+BD34+BJ34</f>
        <v>20798000</v>
      </c>
      <c r="L34" s="2210"/>
      <c r="M34" s="2211"/>
      <c r="N34" s="2211"/>
      <c r="O34" s="2211"/>
      <c r="P34" s="2211">
        <f>+'[3]Všeob. pokladna'!$B$25</f>
        <v>82000</v>
      </c>
      <c r="Q34" s="2211"/>
      <c r="R34" s="2211">
        <f>+[2]Zastupitelé!$B$51</f>
        <v>110000</v>
      </c>
      <c r="S34" s="2211">
        <f>+'[7]Volby '!$B$25</f>
        <v>10000</v>
      </c>
      <c r="T34" s="2211">
        <f t="shared" si="26"/>
        <v>2305000</v>
      </c>
      <c r="U34" s="2212">
        <f>[3]Správa!$D$4+[2]Správa!$D$60</f>
        <v>2305000</v>
      </c>
      <c r="V34" s="2213">
        <f>+[2]Správa!$E$60+[3]Správa!$E$4</f>
        <v>0</v>
      </c>
      <c r="W34" s="2211"/>
      <c r="X34" s="2231">
        <f>+V34+AW34+CL34+CI34+CE34+DQ34+AK34+AQ34+AZ34+BC34+BI34+BO34+BR34+BU34+BX34+CA34+CP34+DB34+DF34+DI34+DL34+AN34+EA34+BF34+BL34+CS34+CV34+CY34</f>
        <v>9770000</v>
      </c>
      <c r="Y34" s="2211">
        <f>+'[2]Pečovatelská služba'!$B$52</f>
        <v>30000</v>
      </c>
      <c r="Z34" s="2228">
        <f>+'[2]Senior taxi'!$B$4</f>
        <v>560000</v>
      </c>
      <c r="AA34" s="2228">
        <f>+'[2]Agentura SCSA'!$B$4</f>
        <v>300000</v>
      </c>
      <c r="AB34" s="2211">
        <f>+'[2]Městská policie'!$B$77</f>
        <v>122000</v>
      </c>
      <c r="AC34" s="2211">
        <f>+[2]Kronika!$B$18</f>
        <v>2000</v>
      </c>
      <c r="AD34" s="2211">
        <f>+'[3]Hotel Budka'!$B$18</f>
        <v>0</v>
      </c>
      <c r="AE34" s="2211"/>
      <c r="AF34" s="2211">
        <f>+[2]Knihovna!$B$61+[3]Knihovna!$B$19</f>
        <v>192000</v>
      </c>
      <c r="AG34" s="2211">
        <f>+'[2]Život Úval'!$B$11</f>
        <v>530000</v>
      </c>
      <c r="AH34" s="2211">
        <f>+[2]Kultura!$B$28</f>
        <v>870000</v>
      </c>
      <c r="AI34" s="2211">
        <f t="shared" ref="AI34:AI37" si="59">+AJ34+AK34</f>
        <v>2690000</v>
      </c>
      <c r="AJ34" s="2212">
        <f>+[3]Byty!$D$25</f>
        <v>2690000</v>
      </c>
      <c r="AK34" s="2212">
        <f>+[3]Byty!$E$25</f>
        <v>0</v>
      </c>
      <c r="AL34" s="2211">
        <f t="shared" ref="AL34:AL37" si="60">+AM34+AN34</f>
        <v>220000</v>
      </c>
      <c r="AM34" s="2212">
        <f>+[3]DPS!$D$26</f>
        <v>220000</v>
      </c>
      <c r="AN34" s="2212">
        <f>+[3]DPS!$E$26</f>
        <v>0</v>
      </c>
      <c r="AO34" s="2211">
        <f t="shared" ref="AO34:AO37" si="61">+AP34+AQ34</f>
        <v>205000</v>
      </c>
      <c r="AP34" s="2212">
        <f>+[3]Nebyty!$D$4</f>
        <v>205000</v>
      </c>
      <c r="AQ34" s="2212">
        <f>+[3]Nebyty!$E$4</f>
        <v>0</v>
      </c>
      <c r="AR34" s="2228">
        <f>+[2]Hasiči!$B$54+[3]Hasiči!$B$18</f>
        <v>45000</v>
      </c>
      <c r="AS34" s="2211">
        <f>+'[3]Zdrav. středisko'!$B$4</f>
        <v>17000</v>
      </c>
      <c r="AT34" s="2211">
        <f>+[3]Tesko!$B$4</f>
        <v>0</v>
      </c>
      <c r="AU34" s="2211">
        <f t="shared" ref="AU34:AU37" si="62">+AV34+AW34</f>
        <v>0</v>
      </c>
      <c r="AV34" s="2212">
        <f>+[3]Hřbitov!$D$18</f>
        <v>0</v>
      </c>
      <c r="AW34" s="2212">
        <f>+[3]Hřbitov!$E$18</f>
        <v>0</v>
      </c>
      <c r="AX34" s="2211">
        <f t="shared" ref="AX34:AX37" si="63">+AY34+AZ34</f>
        <v>40000</v>
      </c>
      <c r="AY34" s="2212">
        <f>+[3]koupaliště!$D$20</f>
        <v>40000</v>
      </c>
      <c r="AZ34" s="2212">
        <f>+[3]koupaliště!$E$20</f>
        <v>0</v>
      </c>
      <c r="BA34" s="2211">
        <f t="shared" si="57"/>
        <v>280000</v>
      </c>
      <c r="BB34" s="2212">
        <f>+[3]Hřiště!$D$14</f>
        <v>210000</v>
      </c>
      <c r="BC34" s="2212">
        <f>+[3]Hřiště!$E$14</f>
        <v>70000</v>
      </c>
      <c r="BD34" s="2211">
        <f t="shared" si="58"/>
        <v>550000</v>
      </c>
      <c r="BE34" s="2212">
        <f>+[3]Spolky!$D$14</f>
        <v>550000</v>
      </c>
      <c r="BF34" s="2212">
        <f>+[3]Spolky!$E$14</f>
        <v>0</v>
      </c>
      <c r="BG34" s="2211">
        <f t="shared" ref="BG34:BG37" si="64">+BH34+BI34</f>
        <v>0</v>
      </c>
      <c r="BH34" s="2212">
        <f>+[3]ZŠ!$D$4</f>
        <v>0</v>
      </c>
      <c r="BI34" s="2212">
        <f>+[3]ZŠ!$E$4</f>
        <v>0</v>
      </c>
      <c r="BJ34" s="2211">
        <f t="shared" si="35"/>
        <v>0</v>
      </c>
      <c r="BK34" s="2212"/>
      <c r="BL34" s="2212"/>
      <c r="BM34" s="2211">
        <f t="shared" ref="BM34:BM37" si="65">+BN34+BO34</f>
        <v>45000</v>
      </c>
      <c r="BN34" s="2212">
        <f>+[2]č.p.65!$D$25+'[3]Č.p. 65'!$D$4</f>
        <v>45000</v>
      </c>
      <c r="BO34" s="2212">
        <f>+'[3]Č.p. 65'!$E$4</f>
        <v>0</v>
      </c>
      <c r="BP34" s="2211">
        <f t="shared" ref="BP34:BP37" si="66">+BQ34+BR34</f>
        <v>18000</v>
      </c>
      <c r="BQ34" s="2212">
        <f>+[3]MDDM!$D$4</f>
        <v>18000</v>
      </c>
      <c r="BR34" s="2212">
        <f>+[3]MDDM!$E$4</f>
        <v>0</v>
      </c>
      <c r="BS34" s="2211">
        <f t="shared" ref="BS34:BS37" si="67">+BT34+BU34</f>
        <v>55000</v>
      </c>
      <c r="BT34" s="2212">
        <f>+'[3]MŠ Pražská'!$D$4</f>
        <v>55000</v>
      </c>
      <c r="BU34" s="2212">
        <f>+'[3]MŠ Pražská'!$E$4</f>
        <v>0</v>
      </c>
      <c r="BV34" s="2211">
        <f t="shared" ref="BV34:BV37" si="68">+BW34+BX34</f>
        <v>100000</v>
      </c>
      <c r="BW34" s="2212">
        <f>+'[3]MŠ Kollárova'!$D$4</f>
        <v>100000</v>
      </c>
      <c r="BX34" s="2212">
        <f>+'[3]MŠ Kollárova'!$E$4</f>
        <v>0</v>
      </c>
      <c r="BY34" s="2211">
        <f t="shared" ref="BY34:BY37" si="69">+BZ34+CA34</f>
        <v>0</v>
      </c>
      <c r="BZ34" s="2212">
        <f>+'[3]Jídelna ZŠ'!$D$4</f>
        <v>0</v>
      </c>
      <c r="CA34" s="2212">
        <f>+'[3]Jídelna ZŠ'!$E$4</f>
        <v>0</v>
      </c>
      <c r="CB34" s="2211">
        <f>+'[3]Jídelna MŠ'!$B$4</f>
        <v>0</v>
      </c>
      <c r="CC34" s="2211">
        <f t="shared" ref="CC34:CC37" si="70">+CD34+CE34</f>
        <v>65000</v>
      </c>
      <c r="CD34" s="2212">
        <f>+'[3]MŠ Cukrovar'!$D$4</f>
        <v>65000</v>
      </c>
      <c r="CE34" s="2212">
        <f>+'[3]MŠ Cukrovar'!$E$4</f>
        <v>0</v>
      </c>
      <c r="CF34" s="2211">
        <f>+'[5]Územní plán 3635'!$B$20</f>
        <v>0</v>
      </c>
      <c r="CG34" s="2211">
        <f t="shared" ref="CG34:CG37" si="71">+CH34+CI34</f>
        <v>110000</v>
      </c>
      <c r="CH34" s="2212">
        <f>+[3]VO!$D$20</f>
        <v>110000</v>
      </c>
      <c r="CI34" s="2212">
        <f>+[3]VO!$E$20</f>
        <v>0</v>
      </c>
      <c r="CJ34" s="2211">
        <f t="shared" si="43"/>
        <v>160000</v>
      </c>
      <c r="CK34" s="2230">
        <f>+[3]Silnice!$D$30+'[4]Silnice světelná křižovatka'!$D$3</f>
        <v>160000</v>
      </c>
      <c r="CL34" s="2212">
        <f>+[3]Silnice!$E$30+'[4]Silnice světelná křižovatka'!$E$3</f>
        <v>0</v>
      </c>
      <c r="CM34" s="2211"/>
      <c r="CN34" s="2211">
        <f t="shared" si="44"/>
        <v>62000</v>
      </c>
      <c r="CO34" s="2236">
        <f>+[3]Vodovod!$D$11</f>
        <v>62000</v>
      </c>
      <c r="CP34" s="2212">
        <f>+[3]Vodovod!$E$11</f>
        <v>0</v>
      </c>
      <c r="CQ34" s="2211"/>
      <c r="CR34" s="2236"/>
      <c r="CS34" s="2212"/>
      <c r="CT34" s="2211">
        <f>+CU34+CV34</f>
        <v>0</v>
      </c>
      <c r="CU34" s="2236">
        <f>+[3]Kanalizace!$D$11</f>
        <v>0</v>
      </c>
      <c r="CV34" s="2212">
        <f>+[3]Kanalizace!$E$11</f>
        <v>0</v>
      </c>
      <c r="CW34" s="2211"/>
      <c r="CX34" s="2236"/>
      <c r="CY34" s="2212"/>
      <c r="CZ34" s="2211">
        <f>DA34+DB34</f>
        <v>350000</v>
      </c>
      <c r="DA34" s="2212">
        <f>+'[3]Inženýrské sítě'!$D$4</f>
        <v>50000</v>
      </c>
      <c r="DB34" s="2212">
        <f>+'[3]Inženýrské sítě'!$E$4</f>
        <v>300000</v>
      </c>
      <c r="DC34" s="2211">
        <f>+'[5]Lesy 1036'!$B$4</f>
        <v>100000</v>
      </c>
      <c r="DD34" s="2211">
        <f t="shared" si="46"/>
        <v>7050000</v>
      </c>
      <c r="DE34" s="2212">
        <f>+'[5]Popelnice 3722'!$D$20</f>
        <v>0</v>
      </c>
      <c r="DF34" s="2212">
        <f>+'[5]Popelnice 3722'!$E$20</f>
        <v>7050000</v>
      </c>
      <c r="DG34" s="2232">
        <f t="shared" si="47"/>
        <v>0</v>
      </c>
      <c r="DH34" s="2212">
        <v>0</v>
      </c>
      <c r="DI34" s="2230">
        <v>0</v>
      </c>
      <c r="DJ34" s="2232">
        <f t="shared" si="48"/>
        <v>100000</v>
      </c>
      <c r="DK34" s="2212">
        <f>+'[5]Černé skládky 3729'!$D$4</f>
        <v>0</v>
      </c>
      <c r="DL34" s="2230">
        <f>+'[5]Černé skládky 3729'!$E$4</f>
        <v>100000</v>
      </c>
      <c r="DM34" s="2211">
        <f>+'[5]Povodeň 3744'!$B$12</f>
        <v>33000</v>
      </c>
      <c r="DN34" s="2232">
        <f t="shared" si="49"/>
        <v>3385000</v>
      </c>
      <c r="DO34" s="2212">
        <f>+'[5]Příroda 3749'!$D$20</f>
        <v>1135000</v>
      </c>
      <c r="DP34" s="2212"/>
      <c r="DQ34" s="2230">
        <f>+'[5]Příroda 3749'!$E$20</f>
        <v>2250000</v>
      </c>
      <c r="DR34" s="2211">
        <f>+[3]Rybníky!$B$4</f>
        <v>5000</v>
      </c>
      <c r="DS34" s="2211"/>
      <c r="DT34" s="2211"/>
      <c r="DU34" s="2211"/>
      <c r="DV34" s="2211"/>
      <c r="DW34" s="2211"/>
      <c r="DX34" s="2211"/>
      <c r="DY34" s="2232">
        <f>+DZ34+EA34</f>
        <v>0</v>
      </c>
      <c r="DZ34" s="2212">
        <f>'[6]TSÚ-Sběrný dvůr 3722-36'!$D$13</f>
        <v>0</v>
      </c>
      <c r="EA34" s="2230">
        <f>'[6]TSÚ-Sběrný dvůr 3722-36'!$E$13</f>
        <v>0</v>
      </c>
      <c r="EB34" s="2211"/>
      <c r="EC34" s="2211"/>
      <c r="ED34" s="2215"/>
      <c r="EE34" s="2206">
        <f>+L34+M34+N34+P34+R34+S34+T34+W34+X34+Y34+AA34+AB34+AC34+AF34+AG34+AH34+AI34+AL34+AO34+AR34+AS34+AT34+AU34+AX34+BG34+BM34+BP34+BS34+BV34+BY34+CB34+CC34+CF34+CG34+CJ34+CM34+CN34+CQ34+CT34+CW34+CZ34+DC34+DD34+DG34+DJ34+DM34+DN34+DR34+DS34+DT34+DU34+DV34+DX34+DY34+EB34+EC34+ED34+BJ34+BD34+BA34+AD34-X34+O34+Q34+Z34</f>
        <v>20798000</v>
      </c>
      <c r="EF34" s="2165">
        <f>EE34-K34</f>
        <v>0</v>
      </c>
      <c r="EG34" s="2166"/>
      <c r="EH34" s="2209">
        <f t="shared" si="54"/>
        <v>11028000</v>
      </c>
      <c r="EI34" s="2166">
        <f t="shared" si="7"/>
        <v>0</v>
      </c>
      <c r="EJ34" s="2209">
        <f>+V34+AK34+AN34++AQ34+AW34+AZ34+BI34+BO34+BR34+BU34+BX34+CA34+CE34+CI34+CL34+CP34+DB34+DF34+DI34+DL34+DQ34+CY34+CV34+CS34+BL34+BF34+BC34</f>
        <v>9770000</v>
      </c>
      <c r="EL34" s="2208"/>
    </row>
    <row r="35" spans="1:142" ht="13.5" customHeight="1" outlineLevel="1">
      <c r="A35" s="2225">
        <v>5171</v>
      </c>
      <c r="B35" s="2198" t="s">
        <v>89</v>
      </c>
      <c r="C35" s="2209">
        <v>18476480</v>
      </c>
      <c r="D35" s="2209">
        <v>37319480</v>
      </c>
      <c r="E35" s="2209">
        <v>42048000</v>
      </c>
      <c r="F35" s="2209">
        <v>44558000</v>
      </c>
      <c r="G35" s="2209">
        <v>44558000</v>
      </c>
      <c r="H35" s="2209">
        <v>51344200</v>
      </c>
      <c r="I35" s="2209">
        <v>51344200</v>
      </c>
      <c r="J35" s="2209">
        <v>46309200</v>
      </c>
      <c r="K35" s="2209">
        <f t="shared" si="51"/>
        <v>26127000</v>
      </c>
      <c r="L35" s="2210"/>
      <c r="M35" s="2211"/>
      <c r="N35" s="2211"/>
      <c r="O35" s="2211"/>
      <c r="P35" s="2211">
        <f>+'[3]Všeob. pokladna'!$B$32</f>
        <v>0</v>
      </c>
      <c r="Q35" s="2211"/>
      <c r="R35" s="2211"/>
      <c r="S35" s="2211"/>
      <c r="T35" s="2211">
        <f t="shared" si="26"/>
        <v>415000</v>
      </c>
      <c r="U35" s="2212">
        <f>+[3]Správa!$D$11+[2]Správa!$D$68</f>
        <v>415000</v>
      </c>
      <c r="V35" s="2213">
        <f>+[2]Správa!$E$68+[3]Správa!$E$11</f>
        <v>0</v>
      </c>
      <c r="W35" s="2211"/>
      <c r="X35" s="2231">
        <f>+V35+AW35+CL35+CI35+CE35+DQ35+AK35+AQ35+AZ35+BC35+BI35+BO35+BR35+BU35+BX35+CA35+CP35+DB35+DF35+DI35+DL35+AN35+EA35+BF35+BL35+CS35+CV35+CY35</f>
        <v>3770000</v>
      </c>
      <c r="Y35" s="2211">
        <f>+'[2]Pečovatelská služba'!$B$59</f>
        <v>197000</v>
      </c>
      <c r="Z35" s="2211"/>
      <c r="AA35" s="2211"/>
      <c r="AB35" s="2211">
        <f>+'[2]Městská policie'!$B$85</f>
        <v>290000</v>
      </c>
      <c r="AC35" s="2211"/>
      <c r="AD35" s="2211">
        <f>+'[3]Hotel Budka'!$B$25</f>
        <v>200000</v>
      </c>
      <c r="AE35" s="2211"/>
      <c r="AF35" s="2211">
        <f>+[2]Knihovna!$B$69+[3]Knihovna!$B$26</f>
        <v>0</v>
      </c>
      <c r="AG35" s="2211"/>
      <c r="AH35" s="2211"/>
      <c r="AI35" s="2211">
        <f t="shared" si="59"/>
        <v>1240000</v>
      </c>
      <c r="AJ35" s="2212">
        <f>+[3]Byty!$D$32</f>
        <v>1210000</v>
      </c>
      <c r="AK35" s="2212">
        <f>+[3]Byty!$E$32</f>
        <v>30000</v>
      </c>
      <c r="AL35" s="2211">
        <f t="shared" si="60"/>
        <v>990000</v>
      </c>
      <c r="AM35" s="2212">
        <f>+[3]DPS!$D$33</f>
        <v>890000</v>
      </c>
      <c r="AN35" s="2212">
        <f>+[3]DPS!$E$33</f>
        <v>100000</v>
      </c>
      <c r="AO35" s="2211">
        <f t="shared" si="61"/>
        <v>520000</v>
      </c>
      <c r="AP35" s="2212">
        <f>+[3]Nebyty!$D$11</f>
        <v>430000</v>
      </c>
      <c r="AQ35" s="2212">
        <f>+[3]Nebyty!$E$11</f>
        <v>90000</v>
      </c>
      <c r="AR35" s="2228">
        <f>+[2]Hasiči!$B$61+[3]Hasiči!$B$25</f>
        <v>185000</v>
      </c>
      <c r="AS35" s="2211">
        <f>+'[3]Zdrav. středisko'!$B$11</f>
        <v>0</v>
      </c>
      <c r="AT35" s="2211">
        <f>+[3]Tesko!$B$11</f>
        <v>0</v>
      </c>
      <c r="AU35" s="2211">
        <f t="shared" si="62"/>
        <v>53000</v>
      </c>
      <c r="AV35" s="2212">
        <f>+[3]Hřbitov!$D$25</f>
        <v>53000</v>
      </c>
      <c r="AW35" s="2212">
        <f>+[3]Hřbitov!$E$25</f>
        <v>0</v>
      </c>
      <c r="AX35" s="2211">
        <f t="shared" si="63"/>
        <v>290000</v>
      </c>
      <c r="AY35" s="2212">
        <f>+[3]koupaliště!$D$27</f>
        <v>290000</v>
      </c>
      <c r="AZ35" s="2212">
        <f>+[3]koupaliště!$E$27</f>
        <v>0</v>
      </c>
      <c r="BA35" s="2211">
        <f t="shared" si="57"/>
        <v>450000</v>
      </c>
      <c r="BB35" s="2212">
        <f>+[3]Hřiště!$D$21</f>
        <v>250000</v>
      </c>
      <c r="BC35" s="2212">
        <f>+[3]Hřiště!$E$21</f>
        <v>200000</v>
      </c>
      <c r="BD35" s="2211">
        <f t="shared" si="58"/>
        <v>0</v>
      </c>
      <c r="BE35" s="2212">
        <f>+[3]Spolky!$D$23</f>
        <v>0</v>
      </c>
      <c r="BF35" s="2212">
        <f>+[3]Spolky!$E$23</f>
        <v>0</v>
      </c>
      <c r="BG35" s="2211">
        <f t="shared" si="64"/>
        <v>1660000</v>
      </c>
      <c r="BH35" s="2212">
        <f>+[3]ZŠ!$D$11</f>
        <v>1660000</v>
      </c>
      <c r="BI35" s="2212">
        <f>+[3]ZŠ!$E$11</f>
        <v>0</v>
      </c>
      <c r="BJ35" s="2211">
        <f t="shared" si="35"/>
        <v>0</v>
      </c>
      <c r="BK35" s="2212"/>
      <c r="BL35" s="2212"/>
      <c r="BM35" s="2211">
        <f t="shared" si="65"/>
        <v>130000</v>
      </c>
      <c r="BN35" s="2212">
        <f>+[2]č.p.65!$D$32+'[3]Č.p. 65'!$D$11</f>
        <v>130000</v>
      </c>
      <c r="BO35" s="2212">
        <f>+'[3]Č.p. 65'!$E$11</f>
        <v>0</v>
      </c>
      <c r="BP35" s="2211">
        <f t="shared" si="66"/>
        <v>141000</v>
      </c>
      <c r="BQ35" s="2212">
        <f>+[3]MDDM!$D$11</f>
        <v>111000</v>
      </c>
      <c r="BR35" s="2212">
        <f>+[3]MDDM!$E$11</f>
        <v>30000</v>
      </c>
      <c r="BS35" s="2211">
        <f t="shared" si="67"/>
        <v>915000</v>
      </c>
      <c r="BT35" s="2212">
        <f>+'[3]MŠ Pražská'!$D$11</f>
        <v>875000</v>
      </c>
      <c r="BU35" s="2212">
        <f>+'[3]MŠ Pražská'!$E$11</f>
        <v>40000</v>
      </c>
      <c r="BV35" s="2211">
        <f t="shared" si="68"/>
        <v>590000</v>
      </c>
      <c r="BW35" s="2212">
        <f>+'[3]MŠ Kollárova'!$D$11</f>
        <v>550000</v>
      </c>
      <c r="BX35" s="2212">
        <f>+'[3]MŠ Kollárova'!$E$11</f>
        <v>40000</v>
      </c>
      <c r="BY35" s="2211">
        <f t="shared" si="69"/>
        <v>1160000</v>
      </c>
      <c r="BZ35" s="2212">
        <f>+'[3]Jídelna ZŠ'!$D$11</f>
        <v>1160000</v>
      </c>
      <c r="CA35" s="2212">
        <f>+'[3]Jídelna ZŠ'!$E$11</f>
        <v>0</v>
      </c>
      <c r="CB35" s="2211">
        <f>+'[3]Jídelna MŠ'!$B$11</f>
        <v>50000</v>
      </c>
      <c r="CC35" s="2211">
        <f t="shared" si="70"/>
        <v>235000</v>
      </c>
      <c r="CD35" s="2212">
        <f>+'[3]MŠ Cukrovar'!$D$12</f>
        <v>195000</v>
      </c>
      <c r="CE35" s="2212">
        <f>+'[3]MŠ Cukrovar'!$E$12</f>
        <v>40000</v>
      </c>
      <c r="CF35" s="2211"/>
      <c r="CG35" s="2211">
        <f t="shared" si="71"/>
        <v>650000</v>
      </c>
      <c r="CH35" s="2212">
        <f>+[3]VO!$D$29</f>
        <v>300000</v>
      </c>
      <c r="CI35" s="2212">
        <f>+[3]VO!$E$29</f>
        <v>350000</v>
      </c>
      <c r="CJ35" s="2211">
        <f t="shared" si="43"/>
        <v>10430000</v>
      </c>
      <c r="CK35" s="2230">
        <f>+[3]Silnice!$D$39</f>
        <v>7580000</v>
      </c>
      <c r="CL35" s="2212">
        <f>+[3]Silnice!$E$39</f>
        <v>2850000</v>
      </c>
      <c r="CM35" s="2211"/>
      <c r="CN35" s="2211">
        <f t="shared" si="44"/>
        <v>100000</v>
      </c>
      <c r="CO35" s="2236">
        <f>+[3]Vodovod!$D$19</f>
        <v>100000</v>
      </c>
      <c r="CP35" s="2212">
        <f>+[3]Vodovod!$E$19</f>
        <v>0</v>
      </c>
      <c r="CQ35" s="2237">
        <f>+CS35+CR35</f>
        <v>3700000</v>
      </c>
      <c r="CR35" s="2236">
        <f>+'[4]Vodovod obnova'!$B$4</f>
        <v>3700000</v>
      </c>
      <c r="CS35" s="2212">
        <v>0</v>
      </c>
      <c r="CT35" s="2211">
        <f t="shared" ref="CT35:CT37" si="72">+CU35+CV35</f>
        <v>340000</v>
      </c>
      <c r="CU35" s="2236">
        <f>+[3]Kanalizace!$D$20</f>
        <v>340000</v>
      </c>
      <c r="CV35" s="2212">
        <f>+[3]Kanalizace!$E$20</f>
        <v>0</v>
      </c>
      <c r="CW35" s="2237">
        <f>+CY35+CX35</f>
        <v>260000</v>
      </c>
      <c r="CX35" s="2236">
        <f>+'[4]Kanalizace obnova'!$B$6</f>
        <v>260000</v>
      </c>
      <c r="CY35" s="2212">
        <v>0</v>
      </c>
      <c r="CZ35" s="2211">
        <f t="shared" si="45"/>
        <v>830000</v>
      </c>
      <c r="DA35" s="2212">
        <f>+'[3]Inženýrské sítě'!$D$11</f>
        <v>830000</v>
      </c>
      <c r="DB35" s="2212">
        <f>+'[3]Inženýrské sítě'!$E$11</f>
        <v>0</v>
      </c>
      <c r="DC35" s="2211"/>
      <c r="DD35" s="2211">
        <f t="shared" si="46"/>
        <v>0</v>
      </c>
      <c r="DE35" s="2212"/>
      <c r="DF35" s="2212"/>
      <c r="DG35" s="2211">
        <f t="shared" si="47"/>
        <v>0</v>
      </c>
      <c r="DH35" s="2212"/>
      <c r="DI35" s="2212"/>
      <c r="DJ35" s="2211">
        <f t="shared" si="48"/>
        <v>0</v>
      </c>
      <c r="DK35" s="2212"/>
      <c r="DL35" s="2212"/>
      <c r="DM35" s="2211">
        <f>+'[5]Popelnice 3722'!$B$42</f>
        <v>106000</v>
      </c>
      <c r="DN35" s="2211">
        <f t="shared" si="49"/>
        <v>0</v>
      </c>
      <c r="DO35" s="2212"/>
      <c r="DP35" s="2212"/>
      <c r="DQ35" s="2212"/>
      <c r="DR35" s="2211">
        <f>+[3]Rybníky!$B$11</f>
        <v>0</v>
      </c>
      <c r="DS35" s="2211"/>
      <c r="DT35" s="2211"/>
      <c r="DU35" s="2211"/>
      <c r="DV35" s="2211"/>
      <c r="DW35" s="2211"/>
      <c r="DX35" s="2211"/>
      <c r="DY35" s="2211"/>
      <c r="DZ35" s="2212"/>
      <c r="EA35" s="2212"/>
      <c r="EB35" s="2211"/>
      <c r="EC35" s="2211"/>
      <c r="ED35" s="2215"/>
      <c r="EE35" s="2206">
        <f t="shared" ref="EE35:EE41" si="73">+L35+M35+N35+P35+R35+S35+T35+W35+X35+Y35+AA35+AB35+AC35+AF35+AG35+AH35+AI35+AL35+AO35+AR35+AS35+AT35+AU35+AX35+BG35+BM35+BP35+BS35+BV35+BY35+CB35+CC35+CF35+CG35+CJ35+CM35+CN35+CQ35+CT35+CW35+CZ35+DC35+DD35+DG35+DJ35+DM35+DN35+DR35+DS35+DT35+DU35+DV35+DX35+DY35+EB35+EC35+ED35+BJ35+BD35+BA35+AD35-X35+O35+Q35+Z35</f>
        <v>26127000</v>
      </c>
      <c r="EF35" s="2165">
        <f t="shared" ref="EF35:EF41" si="74">EE35-K35</f>
        <v>0</v>
      </c>
      <c r="EG35" s="2233"/>
      <c r="EH35" s="2209">
        <f t="shared" si="54"/>
        <v>22357000</v>
      </c>
      <c r="EI35" s="2233">
        <f t="shared" si="7"/>
        <v>0</v>
      </c>
      <c r="EJ35" s="2209">
        <f>+V35+AK35+AN35++AQ35+AW35+AZ35+BI35+BO35+BR35+BU35+BX35+CA35+CE35+CI35+CL35+CP35+DB35+DF35+DI35+DL35+DQ35+CY35+CV35+CS35+BL35+BF35+BC35</f>
        <v>3770000</v>
      </c>
      <c r="EL35" s="2208"/>
    </row>
    <row r="36" spans="1:142" ht="13.5" customHeight="1" outlineLevel="1">
      <c r="A36" s="2225">
        <v>5172</v>
      </c>
      <c r="B36" s="2198" t="s">
        <v>90</v>
      </c>
      <c r="C36" s="2209">
        <v>3364300</v>
      </c>
      <c r="D36" s="2209">
        <v>3028000</v>
      </c>
      <c r="E36" s="2209">
        <v>3028000</v>
      </c>
      <c r="F36" s="2209">
        <v>3028000</v>
      </c>
      <c r="G36" s="2209">
        <v>3028000</v>
      </c>
      <c r="H36" s="2209">
        <v>3028000</v>
      </c>
      <c r="I36" s="2209">
        <v>3028000</v>
      </c>
      <c r="J36" s="2209">
        <v>3028000</v>
      </c>
      <c r="K36" s="2209">
        <f t="shared" si="51"/>
        <v>3162000</v>
      </c>
      <c r="L36" s="2210"/>
      <c r="M36" s="2211"/>
      <c r="N36" s="2211"/>
      <c r="O36" s="2211"/>
      <c r="P36" s="2211"/>
      <c r="Q36" s="2211"/>
      <c r="R36" s="2211"/>
      <c r="S36" s="2211"/>
      <c r="T36" s="2211">
        <f t="shared" si="26"/>
        <v>2920000</v>
      </c>
      <c r="U36" s="2235">
        <f>+[2]Správa!$D$75</f>
        <v>2920000</v>
      </c>
      <c r="V36" s="2213">
        <f>+[2]Správa!$E$75</f>
        <v>0</v>
      </c>
      <c r="W36" s="2211"/>
      <c r="X36" s="2227">
        <f t="shared" si="56"/>
        <v>0</v>
      </c>
      <c r="Y36" s="2211">
        <f>+'[2]Pečovatelská služba'!$B$66</f>
        <v>10000</v>
      </c>
      <c r="Z36" s="2211"/>
      <c r="AA36" s="2211"/>
      <c r="AB36" s="2211">
        <f>+'[2]Městská policie'!$B$92</f>
        <v>170000</v>
      </c>
      <c r="AC36" s="2211">
        <f>+[2]Kronika!$B$25</f>
        <v>6000</v>
      </c>
      <c r="AD36" s="2211"/>
      <c r="AE36" s="2211"/>
      <c r="AF36" s="2211">
        <f>+[2]Knihovna!$B$76</f>
        <v>56000</v>
      </c>
      <c r="AG36" s="2211"/>
      <c r="AH36" s="2211"/>
      <c r="AI36" s="2211">
        <f t="shared" si="59"/>
        <v>0</v>
      </c>
      <c r="AJ36" s="2212"/>
      <c r="AK36" s="2212"/>
      <c r="AL36" s="2211">
        <f t="shared" si="60"/>
        <v>0</v>
      </c>
      <c r="AM36" s="2212"/>
      <c r="AN36" s="2212"/>
      <c r="AO36" s="2211">
        <f t="shared" si="61"/>
        <v>0</v>
      </c>
      <c r="AP36" s="2212"/>
      <c r="AQ36" s="2212"/>
      <c r="AR36" s="2228">
        <f>+[2]Hasiči!$B$68</f>
        <v>0</v>
      </c>
      <c r="AS36" s="2211"/>
      <c r="AT36" s="2211"/>
      <c r="AU36" s="2211">
        <f t="shared" si="62"/>
        <v>0</v>
      </c>
      <c r="AV36" s="2212"/>
      <c r="AW36" s="2212"/>
      <c r="AX36" s="2211">
        <f t="shared" si="63"/>
        <v>0</v>
      </c>
      <c r="AY36" s="2212"/>
      <c r="AZ36" s="2212"/>
      <c r="BA36" s="2211">
        <f t="shared" si="57"/>
        <v>0</v>
      </c>
      <c r="BB36" s="2212"/>
      <c r="BC36" s="2212"/>
      <c r="BD36" s="2211">
        <f t="shared" si="58"/>
        <v>0</v>
      </c>
      <c r="BE36" s="2212"/>
      <c r="BF36" s="2212"/>
      <c r="BG36" s="2211">
        <f t="shared" si="64"/>
        <v>0</v>
      </c>
      <c r="BH36" s="2212"/>
      <c r="BI36" s="2212"/>
      <c r="BJ36" s="2211">
        <f t="shared" si="35"/>
        <v>0</v>
      </c>
      <c r="BK36" s="2212"/>
      <c r="BL36" s="2212"/>
      <c r="BM36" s="2211">
        <f t="shared" si="65"/>
        <v>0</v>
      </c>
      <c r="BN36" s="2212"/>
      <c r="BO36" s="2212"/>
      <c r="BP36" s="2211">
        <f t="shared" si="66"/>
        <v>0</v>
      </c>
      <c r="BQ36" s="2212"/>
      <c r="BR36" s="2212"/>
      <c r="BS36" s="2211">
        <f t="shared" si="67"/>
        <v>0</v>
      </c>
      <c r="BT36" s="2212"/>
      <c r="BU36" s="2212"/>
      <c r="BV36" s="2211">
        <f t="shared" si="68"/>
        <v>0</v>
      </c>
      <c r="BW36" s="2212"/>
      <c r="BX36" s="2212"/>
      <c r="BY36" s="2211">
        <f t="shared" si="69"/>
        <v>0</v>
      </c>
      <c r="BZ36" s="2212"/>
      <c r="CA36" s="2212"/>
      <c r="CB36" s="2211"/>
      <c r="CC36" s="2211">
        <f t="shared" si="70"/>
        <v>0</v>
      </c>
      <c r="CD36" s="2212"/>
      <c r="CE36" s="2212"/>
      <c r="CF36" s="2211"/>
      <c r="CG36" s="2211">
        <f t="shared" si="71"/>
        <v>0</v>
      </c>
      <c r="CH36" s="2212"/>
      <c r="CI36" s="2212"/>
      <c r="CJ36" s="2211">
        <f t="shared" si="43"/>
        <v>0</v>
      </c>
      <c r="CK36" s="2212"/>
      <c r="CL36" s="2212"/>
      <c r="CM36" s="2211"/>
      <c r="CN36" s="2211">
        <f t="shared" si="44"/>
        <v>0</v>
      </c>
      <c r="CO36" s="2212"/>
      <c r="CP36" s="2212"/>
      <c r="CQ36" s="2211"/>
      <c r="CR36" s="2212"/>
      <c r="CS36" s="2212"/>
      <c r="CT36" s="2211">
        <f t="shared" si="72"/>
        <v>0</v>
      </c>
      <c r="CU36" s="2212"/>
      <c r="CV36" s="2212"/>
      <c r="CW36" s="2211"/>
      <c r="CX36" s="2212"/>
      <c r="CY36" s="2212"/>
      <c r="CZ36" s="2211">
        <f t="shared" si="45"/>
        <v>0</v>
      </c>
      <c r="DA36" s="2212"/>
      <c r="DB36" s="2212"/>
      <c r="DC36" s="2211"/>
      <c r="DD36" s="2211">
        <f t="shared" si="46"/>
        <v>0</v>
      </c>
      <c r="DE36" s="2212"/>
      <c r="DF36" s="2212"/>
      <c r="DG36" s="2211">
        <f t="shared" si="47"/>
        <v>0</v>
      </c>
      <c r="DH36" s="2212"/>
      <c r="DI36" s="2212"/>
      <c r="DJ36" s="2211">
        <f t="shared" si="48"/>
        <v>0</v>
      </c>
      <c r="DK36" s="2212"/>
      <c r="DL36" s="2212"/>
      <c r="DM36" s="2211"/>
      <c r="DN36" s="2211">
        <f t="shared" si="49"/>
        <v>0</v>
      </c>
      <c r="DO36" s="2212"/>
      <c r="DP36" s="2212"/>
      <c r="DQ36" s="2212"/>
      <c r="DR36" s="2211"/>
      <c r="DS36" s="2211"/>
      <c r="DT36" s="2211"/>
      <c r="DU36" s="2211"/>
      <c r="DV36" s="2211"/>
      <c r="DW36" s="2211"/>
      <c r="DX36" s="2211"/>
      <c r="DY36" s="2211"/>
      <c r="DZ36" s="2212"/>
      <c r="EA36" s="2212"/>
      <c r="EB36" s="2211"/>
      <c r="EC36" s="2211"/>
      <c r="ED36" s="2215"/>
      <c r="EE36" s="2206">
        <f t="shared" si="73"/>
        <v>3162000</v>
      </c>
      <c r="EF36" s="2165">
        <f t="shared" si="74"/>
        <v>0</v>
      </c>
      <c r="EG36" s="2166"/>
      <c r="EH36" s="2209">
        <f t="shared" si="54"/>
        <v>3162000</v>
      </c>
      <c r="EI36" s="2166">
        <f t="shared" si="7"/>
        <v>0</v>
      </c>
      <c r="EJ36" s="2209">
        <f t="shared" ref="EJ36:EJ44" si="75">+V36+AK36+AN36++AQ36+AW36+AZ36+BI36+BO36+BR36+BU36+BX36+CA36+CE36+CI36+CL36+CP36+DB36+DF36+DI36+DL36+DQ36</f>
        <v>0</v>
      </c>
      <c r="EL36" s="2208"/>
    </row>
    <row r="37" spans="1:142" ht="13.5" customHeight="1" outlineLevel="1">
      <c r="A37" s="2225">
        <v>5173</v>
      </c>
      <c r="B37" s="2198" t="s">
        <v>91</v>
      </c>
      <c r="C37" s="2209">
        <v>62000</v>
      </c>
      <c r="D37" s="2209">
        <v>62000</v>
      </c>
      <c r="E37" s="2209">
        <v>62000</v>
      </c>
      <c r="F37" s="2209">
        <v>62000</v>
      </c>
      <c r="G37" s="2209">
        <v>62000</v>
      </c>
      <c r="H37" s="2209">
        <v>62000</v>
      </c>
      <c r="I37" s="2209">
        <v>62000</v>
      </c>
      <c r="J37" s="2209">
        <v>62000</v>
      </c>
      <c r="K37" s="2209">
        <f t="shared" si="51"/>
        <v>20700</v>
      </c>
      <c r="L37" s="2210"/>
      <c r="M37" s="2211"/>
      <c r="N37" s="2211"/>
      <c r="O37" s="2211"/>
      <c r="P37" s="2211"/>
      <c r="Q37" s="2211"/>
      <c r="R37" s="2211">
        <f>+[2]Zastupitelé!$B$58</f>
        <v>10000</v>
      </c>
      <c r="S37" s="2211"/>
      <c r="T37" s="2211">
        <f t="shared" si="26"/>
        <v>9000</v>
      </c>
      <c r="U37" s="2235">
        <f>+[2]Správa!$B$82</f>
        <v>9000</v>
      </c>
      <c r="V37" s="2213">
        <v>0</v>
      </c>
      <c r="W37" s="2211"/>
      <c r="X37" s="2227">
        <f t="shared" si="56"/>
        <v>0</v>
      </c>
      <c r="Y37" s="2211">
        <f>+'[2]Pečovatelská služba'!$B$73</f>
        <v>200</v>
      </c>
      <c r="Z37" s="2211"/>
      <c r="AA37" s="2211"/>
      <c r="AB37" s="2211">
        <f>+'[2]Městská policie'!$B$99</f>
        <v>1500</v>
      </c>
      <c r="AC37" s="2211"/>
      <c r="AD37" s="2211"/>
      <c r="AE37" s="2211"/>
      <c r="AF37" s="2211">
        <f>+[2]Knihovna!$B$83</f>
        <v>0</v>
      </c>
      <c r="AG37" s="2211"/>
      <c r="AH37" s="2211"/>
      <c r="AI37" s="2211">
        <f t="shared" si="59"/>
        <v>0</v>
      </c>
      <c r="AJ37" s="2212"/>
      <c r="AK37" s="2212"/>
      <c r="AL37" s="2211">
        <f t="shared" si="60"/>
        <v>0</v>
      </c>
      <c r="AM37" s="2212"/>
      <c r="AN37" s="2212"/>
      <c r="AO37" s="2211">
        <f t="shared" si="61"/>
        <v>0</v>
      </c>
      <c r="AP37" s="2212"/>
      <c r="AQ37" s="2212"/>
      <c r="AR37" s="2211"/>
      <c r="AS37" s="2211"/>
      <c r="AT37" s="2211"/>
      <c r="AU37" s="2211">
        <f t="shared" si="62"/>
        <v>0</v>
      </c>
      <c r="AV37" s="2212"/>
      <c r="AW37" s="2212"/>
      <c r="AX37" s="2211">
        <f t="shared" si="63"/>
        <v>0</v>
      </c>
      <c r="AY37" s="2212"/>
      <c r="AZ37" s="2212"/>
      <c r="BA37" s="2211">
        <f t="shared" si="57"/>
        <v>0</v>
      </c>
      <c r="BB37" s="2212"/>
      <c r="BC37" s="2212"/>
      <c r="BD37" s="2211">
        <f t="shared" si="58"/>
        <v>0</v>
      </c>
      <c r="BE37" s="2212"/>
      <c r="BF37" s="2212"/>
      <c r="BG37" s="2211">
        <f t="shared" si="64"/>
        <v>0</v>
      </c>
      <c r="BH37" s="2212"/>
      <c r="BI37" s="2212"/>
      <c r="BJ37" s="2211">
        <f t="shared" si="35"/>
        <v>0</v>
      </c>
      <c r="BK37" s="2212"/>
      <c r="BL37" s="2212"/>
      <c r="BM37" s="2211">
        <f t="shared" si="65"/>
        <v>0</v>
      </c>
      <c r="BN37" s="2212"/>
      <c r="BO37" s="2212"/>
      <c r="BP37" s="2211">
        <f t="shared" si="66"/>
        <v>0</v>
      </c>
      <c r="BQ37" s="2212"/>
      <c r="BR37" s="2212"/>
      <c r="BS37" s="2211">
        <f t="shared" si="67"/>
        <v>0</v>
      </c>
      <c r="BT37" s="2212"/>
      <c r="BU37" s="2212"/>
      <c r="BV37" s="2211">
        <f t="shared" si="68"/>
        <v>0</v>
      </c>
      <c r="BW37" s="2212"/>
      <c r="BX37" s="2212"/>
      <c r="BY37" s="2211">
        <f t="shared" si="69"/>
        <v>0</v>
      </c>
      <c r="BZ37" s="2212"/>
      <c r="CA37" s="2212"/>
      <c r="CB37" s="2211"/>
      <c r="CC37" s="2211">
        <f t="shared" si="70"/>
        <v>0</v>
      </c>
      <c r="CD37" s="2212"/>
      <c r="CE37" s="2212"/>
      <c r="CF37" s="2211"/>
      <c r="CG37" s="2211">
        <f t="shared" si="71"/>
        <v>0</v>
      </c>
      <c r="CH37" s="2212"/>
      <c r="CI37" s="2212"/>
      <c r="CJ37" s="2211">
        <f t="shared" si="43"/>
        <v>0</v>
      </c>
      <c r="CK37" s="2212"/>
      <c r="CL37" s="2212"/>
      <c r="CM37" s="2211"/>
      <c r="CN37" s="2211">
        <f t="shared" si="44"/>
        <v>0</v>
      </c>
      <c r="CO37" s="2212"/>
      <c r="CP37" s="2212"/>
      <c r="CQ37" s="2211"/>
      <c r="CR37" s="2212"/>
      <c r="CS37" s="2212"/>
      <c r="CT37" s="2211">
        <f t="shared" si="72"/>
        <v>0</v>
      </c>
      <c r="CU37" s="2212"/>
      <c r="CV37" s="2212"/>
      <c r="CW37" s="2211"/>
      <c r="CX37" s="2212"/>
      <c r="CY37" s="2212"/>
      <c r="CZ37" s="2211">
        <f t="shared" si="45"/>
        <v>0</v>
      </c>
      <c r="DA37" s="2212"/>
      <c r="DB37" s="2212"/>
      <c r="DC37" s="2211"/>
      <c r="DD37" s="2211">
        <f t="shared" si="46"/>
        <v>0</v>
      </c>
      <c r="DE37" s="2212"/>
      <c r="DF37" s="2212"/>
      <c r="DG37" s="2211">
        <f t="shared" si="47"/>
        <v>0</v>
      </c>
      <c r="DH37" s="2212"/>
      <c r="DI37" s="2212"/>
      <c r="DJ37" s="2211">
        <f t="shared" si="48"/>
        <v>0</v>
      </c>
      <c r="DK37" s="2212"/>
      <c r="DL37" s="2212"/>
      <c r="DM37" s="2211"/>
      <c r="DN37" s="2211">
        <f t="shared" si="49"/>
        <v>0</v>
      </c>
      <c r="DO37" s="2212"/>
      <c r="DP37" s="2212"/>
      <c r="DQ37" s="2212"/>
      <c r="DR37" s="2211"/>
      <c r="DS37" s="2211"/>
      <c r="DT37" s="2211"/>
      <c r="DU37" s="2211"/>
      <c r="DV37" s="2211"/>
      <c r="DW37" s="2211"/>
      <c r="DX37" s="2211"/>
      <c r="DY37" s="2211"/>
      <c r="DZ37" s="2212"/>
      <c r="EA37" s="2212"/>
      <c r="EB37" s="2211"/>
      <c r="EC37" s="2211"/>
      <c r="ED37" s="2215"/>
      <c r="EE37" s="2206">
        <f t="shared" si="73"/>
        <v>20700</v>
      </c>
      <c r="EF37" s="2165">
        <f t="shared" si="74"/>
        <v>0</v>
      </c>
      <c r="EG37" s="2166"/>
      <c r="EH37" s="2209">
        <f t="shared" si="54"/>
        <v>20700</v>
      </c>
      <c r="EI37" s="2166">
        <f t="shared" si="7"/>
        <v>0</v>
      </c>
      <c r="EJ37" s="2209">
        <f t="shared" si="75"/>
        <v>0</v>
      </c>
      <c r="EL37" s="2208"/>
    </row>
    <row r="38" spans="1:142" ht="13.5" customHeight="1" outlineLevel="1">
      <c r="A38" s="2225">
        <v>5175</v>
      </c>
      <c r="B38" s="2198" t="s">
        <v>92</v>
      </c>
      <c r="C38" s="2209">
        <v>431000</v>
      </c>
      <c r="D38" s="2209">
        <v>443000</v>
      </c>
      <c r="E38" s="2209">
        <v>443000</v>
      </c>
      <c r="F38" s="2209">
        <v>443000</v>
      </c>
      <c r="G38" s="2209">
        <v>443000</v>
      </c>
      <c r="H38" s="2209">
        <v>443000</v>
      </c>
      <c r="I38" s="2209">
        <v>443000</v>
      </c>
      <c r="J38" s="2209">
        <v>443000</v>
      </c>
      <c r="K38" s="2209">
        <f t="shared" si="51"/>
        <v>329434</v>
      </c>
      <c r="L38" s="2210"/>
      <c r="M38" s="2211"/>
      <c r="N38" s="2211"/>
      <c r="O38" s="2211"/>
      <c r="P38" s="2211"/>
      <c r="Q38" s="2211"/>
      <c r="R38" s="2211">
        <f>+[2]Zastupitelé!$B$65</f>
        <v>120000</v>
      </c>
      <c r="S38" s="2211">
        <f>+'[7]Volby '!$B$32</f>
        <v>7434</v>
      </c>
      <c r="T38" s="2211">
        <f t="shared" si="26"/>
        <v>86000</v>
      </c>
      <c r="U38" s="2235">
        <f>+[2]Správa!$B$89</f>
        <v>86000</v>
      </c>
      <c r="V38" s="2213">
        <v>0</v>
      </c>
      <c r="W38" s="2211"/>
      <c r="X38" s="2227">
        <f t="shared" si="56"/>
        <v>0</v>
      </c>
      <c r="Y38" s="2211">
        <f>+'[2]Pečovatelská služba'!$B$80</f>
        <v>11000</v>
      </c>
      <c r="Z38" s="2211"/>
      <c r="AA38" s="2211"/>
      <c r="AB38" s="2211">
        <f>+'[2]Městská policie'!$B$106</f>
        <v>9000</v>
      </c>
      <c r="AC38" s="2211"/>
      <c r="AD38" s="2211"/>
      <c r="AE38" s="2211"/>
      <c r="AF38" s="2211">
        <f>+[2]Knihovna!$B$90</f>
        <v>2000</v>
      </c>
      <c r="AG38" s="2211"/>
      <c r="AH38" s="2211">
        <f>+[2]Kultura!$B$39</f>
        <v>92000</v>
      </c>
      <c r="AI38" s="2211">
        <f t="shared" si="27"/>
        <v>0</v>
      </c>
      <c r="AJ38" s="2212"/>
      <c r="AK38" s="2212"/>
      <c r="AL38" s="2211">
        <f t="shared" si="28"/>
        <v>0</v>
      </c>
      <c r="AM38" s="2212"/>
      <c r="AN38" s="2212"/>
      <c r="AO38" s="2211">
        <f t="shared" si="29"/>
        <v>0</v>
      </c>
      <c r="AP38" s="2212"/>
      <c r="AQ38" s="2212"/>
      <c r="AR38" s="2228">
        <f>+[2]Hasiči!$B$75</f>
        <v>2000</v>
      </c>
      <c r="AS38" s="2211"/>
      <c r="AT38" s="2211"/>
      <c r="AU38" s="2211">
        <f t="shared" si="30"/>
        <v>0</v>
      </c>
      <c r="AV38" s="2212"/>
      <c r="AW38" s="2212"/>
      <c r="AX38" s="2211">
        <f t="shared" si="31"/>
        <v>0</v>
      </c>
      <c r="AY38" s="2212"/>
      <c r="AZ38" s="2212"/>
      <c r="BA38" s="2211">
        <f t="shared" si="57"/>
        <v>0</v>
      </c>
      <c r="BB38" s="2212"/>
      <c r="BC38" s="2212"/>
      <c r="BD38" s="2211">
        <f t="shared" si="58"/>
        <v>0</v>
      </c>
      <c r="BE38" s="2212"/>
      <c r="BF38" s="2212"/>
      <c r="BG38" s="2211">
        <f t="shared" si="34"/>
        <v>0</v>
      </c>
      <c r="BH38" s="2212"/>
      <c r="BI38" s="2212"/>
      <c r="BJ38" s="2211">
        <f t="shared" si="35"/>
        <v>0</v>
      </c>
      <c r="BK38" s="2212"/>
      <c r="BL38" s="2212"/>
      <c r="BM38" s="2211">
        <f t="shared" si="36"/>
        <v>0</v>
      </c>
      <c r="BN38" s="2212">
        <v>0</v>
      </c>
      <c r="BO38" s="2212">
        <v>0</v>
      </c>
      <c r="BP38" s="2211">
        <f t="shared" si="37"/>
        <v>0</v>
      </c>
      <c r="BQ38" s="2212"/>
      <c r="BR38" s="2212"/>
      <c r="BS38" s="2211">
        <f t="shared" si="38"/>
        <v>0</v>
      </c>
      <c r="BT38" s="2212"/>
      <c r="BU38" s="2212"/>
      <c r="BV38" s="2211">
        <f t="shared" si="39"/>
        <v>0</v>
      </c>
      <c r="BW38" s="2212"/>
      <c r="BX38" s="2212"/>
      <c r="BY38" s="2211">
        <f t="shared" si="40"/>
        <v>0</v>
      </c>
      <c r="BZ38" s="2212"/>
      <c r="CA38" s="2212"/>
      <c r="CB38" s="2211"/>
      <c r="CC38" s="2211">
        <f t="shared" si="41"/>
        <v>0</v>
      </c>
      <c r="CD38" s="2212"/>
      <c r="CE38" s="2212"/>
      <c r="CF38" s="2211"/>
      <c r="CG38" s="2211">
        <f t="shared" si="42"/>
        <v>0</v>
      </c>
      <c r="CH38" s="2212"/>
      <c r="CI38" s="2212"/>
      <c r="CJ38" s="2211">
        <f t="shared" si="43"/>
        <v>0</v>
      </c>
      <c r="CK38" s="2212"/>
      <c r="CL38" s="2212"/>
      <c r="CM38" s="2211"/>
      <c r="CN38" s="2211">
        <f t="shared" si="44"/>
        <v>0</v>
      </c>
      <c r="CO38" s="2212"/>
      <c r="CP38" s="2212"/>
      <c r="CQ38" s="2211"/>
      <c r="CR38" s="2212"/>
      <c r="CS38" s="2212"/>
      <c r="CT38" s="2211"/>
      <c r="CU38" s="2212"/>
      <c r="CV38" s="2212"/>
      <c r="CW38" s="2211"/>
      <c r="CX38" s="2212"/>
      <c r="CY38" s="2212"/>
      <c r="CZ38" s="2211">
        <f t="shared" si="45"/>
        <v>0</v>
      </c>
      <c r="DA38" s="2212"/>
      <c r="DB38" s="2212"/>
      <c r="DC38" s="2211"/>
      <c r="DD38" s="2211">
        <f t="shared" si="46"/>
        <v>0</v>
      </c>
      <c r="DE38" s="2212"/>
      <c r="DF38" s="2212"/>
      <c r="DG38" s="2211">
        <f t="shared" si="47"/>
        <v>0</v>
      </c>
      <c r="DH38" s="2212"/>
      <c r="DI38" s="2212"/>
      <c r="DJ38" s="2211">
        <f t="shared" si="48"/>
        <v>0</v>
      </c>
      <c r="DK38" s="2212"/>
      <c r="DL38" s="2212"/>
      <c r="DM38" s="2211"/>
      <c r="DN38" s="2211">
        <f t="shared" si="49"/>
        <v>0</v>
      </c>
      <c r="DO38" s="2212"/>
      <c r="DP38" s="2212"/>
      <c r="DQ38" s="2212"/>
      <c r="DR38" s="2211"/>
      <c r="DS38" s="2211"/>
      <c r="DT38" s="2211"/>
      <c r="DU38" s="2211"/>
      <c r="DV38" s="2211"/>
      <c r="DW38" s="2211"/>
      <c r="DX38" s="2211"/>
      <c r="DY38" s="2211"/>
      <c r="DZ38" s="2212"/>
      <c r="EA38" s="2212"/>
      <c r="EB38" s="2211"/>
      <c r="EC38" s="2211"/>
      <c r="ED38" s="2215"/>
      <c r="EE38" s="2206">
        <f t="shared" si="73"/>
        <v>329434</v>
      </c>
      <c r="EF38" s="2165">
        <f t="shared" si="74"/>
        <v>0</v>
      </c>
      <c r="EG38" s="2166"/>
      <c r="EH38" s="2209">
        <f t="shared" si="54"/>
        <v>329434</v>
      </c>
      <c r="EI38" s="2166">
        <f t="shared" si="7"/>
        <v>0</v>
      </c>
      <c r="EJ38" s="2209">
        <f t="shared" si="75"/>
        <v>0</v>
      </c>
      <c r="EL38" s="2208"/>
    </row>
    <row r="39" spans="1:142" ht="13.5" customHeight="1" outlineLevel="1">
      <c r="A39" s="2225">
        <v>5179</v>
      </c>
      <c r="B39" s="2198" t="s">
        <v>93</v>
      </c>
      <c r="C39" s="2209">
        <v>0</v>
      </c>
      <c r="D39" s="2209">
        <v>0</v>
      </c>
      <c r="E39" s="2209">
        <v>0</v>
      </c>
      <c r="F39" s="2209">
        <v>0</v>
      </c>
      <c r="G39" s="2209">
        <v>0</v>
      </c>
      <c r="H39" s="2209">
        <v>0</v>
      </c>
      <c r="I39" s="2209">
        <v>0</v>
      </c>
      <c r="J39" s="2209">
        <v>0</v>
      </c>
      <c r="K39" s="2209">
        <f t="shared" si="51"/>
        <v>0</v>
      </c>
      <c r="L39" s="2210"/>
      <c r="M39" s="2211"/>
      <c r="N39" s="2211"/>
      <c r="O39" s="2211"/>
      <c r="P39" s="2211"/>
      <c r="Q39" s="2211"/>
      <c r="R39" s="2211"/>
      <c r="S39" s="2211"/>
      <c r="T39" s="2211">
        <f t="shared" si="26"/>
        <v>0</v>
      </c>
      <c r="U39" s="2212">
        <v>0</v>
      </c>
      <c r="V39" s="2213">
        <v>0</v>
      </c>
      <c r="W39" s="2211"/>
      <c r="X39" s="2227">
        <f t="shared" si="56"/>
        <v>0</v>
      </c>
      <c r="Y39" s="2211"/>
      <c r="Z39" s="2211"/>
      <c r="AA39" s="2211"/>
      <c r="AB39" s="2211"/>
      <c r="AC39" s="2211"/>
      <c r="AD39" s="2211"/>
      <c r="AE39" s="2211"/>
      <c r="AF39" s="2211"/>
      <c r="AG39" s="2211"/>
      <c r="AH39" s="2211"/>
      <c r="AI39" s="2211">
        <f t="shared" si="27"/>
        <v>0</v>
      </c>
      <c r="AJ39" s="2212"/>
      <c r="AK39" s="2212"/>
      <c r="AL39" s="2211">
        <f t="shared" si="28"/>
        <v>0</v>
      </c>
      <c r="AM39" s="2212"/>
      <c r="AN39" s="2212"/>
      <c r="AO39" s="2211">
        <f t="shared" si="29"/>
        <v>0</v>
      </c>
      <c r="AP39" s="2212"/>
      <c r="AQ39" s="2212"/>
      <c r="AR39" s="2211"/>
      <c r="AS39" s="2211"/>
      <c r="AT39" s="2211"/>
      <c r="AU39" s="2211">
        <f t="shared" si="30"/>
        <v>0</v>
      </c>
      <c r="AV39" s="2212"/>
      <c r="AW39" s="2212"/>
      <c r="AX39" s="2211">
        <f t="shared" si="31"/>
        <v>0</v>
      </c>
      <c r="AY39" s="2212"/>
      <c r="AZ39" s="2212"/>
      <c r="BA39" s="2211">
        <f t="shared" si="57"/>
        <v>0</v>
      </c>
      <c r="BB39" s="2212"/>
      <c r="BC39" s="2212"/>
      <c r="BD39" s="2211">
        <f t="shared" si="58"/>
        <v>0</v>
      </c>
      <c r="BE39" s="2212"/>
      <c r="BF39" s="2212"/>
      <c r="BG39" s="2211">
        <f t="shared" si="34"/>
        <v>0</v>
      </c>
      <c r="BH39" s="2212"/>
      <c r="BI39" s="2212"/>
      <c r="BJ39" s="2211">
        <f t="shared" si="35"/>
        <v>0</v>
      </c>
      <c r="BK39" s="2212"/>
      <c r="BL39" s="2212"/>
      <c r="BM39" s="2211">
        <f t="shared" si="36"/>
        <v>0</v>
      </c>
      <c r="BN39" s="2212"/>
      <c r="BO39" s="2212"/>
      <c r="BP39" s="2211">
        <f t="shared" si="37"/>
        <v>0</v>
      </c>
      <c r="BQ39" s="2212"/>
      <c r="BR39" s="2212"/>
      <c r="BS39" s="2211">
        <f t="shared" si="38"/>
        <v>0</v>
      </c>
      <c r="BT39" s="2212"/>
      <c r="BU39" s="2212"/>
      <c r="BV39" s="2211">
        <f t="shared" si="39"/>
        <v>0</v>
      </c>
      <c r="BW39" s="2212"/>
      <c r="BX39" s="2212"/>
      <c r="BY39" s="2211">
        <f t="shared" si="40"/>
        <v>0</v>
      </c>
      <c r="BZ39" s="2212"/>
      <c r="CA39" s="2212"/>
      <c r="CB39" s="2211"/>
      <c r="CC39" s="2211">
        <f t="shared" si="41"/>
        <v>0</v>
      </c>
      <c r="CD39" s="2212"/>
      <c r="CE39" s="2212"/>
      <c r="CF39" s="2211"/>
      <c r="CG39" s="2211">
        <f t="shared" si="42"/>
        <v>0</v>
      </c>
      <c r="CH39" s="2212"/>
      <c r="CI39" s="2212"/>
      <c r="CJ39" s="2211">
        <f t="shared" si="43"/>
        <v>0</v>
      </c>
      <c r="CK39" s="2212"/>
      <c r="CL39" s="2212"/>
      <c r="CM39" s="2211"/>
      <c r="CN39" s="2211">
        <f t="shared" si="44"/>
        <v>0</v>
      </c>
      <c r="CO39" s="2212"/>
      <c r="CP39" s="2212"/>
      <c r="CQ39" s="2211"/>
      <c r="CR39" s="2212"/>
      <c r="CS39" s="2212"/>
      <c r="CT39" s="2211"/>
      <c r="CU39" s="2212"/>
      <c r="CV39" s="2212"/>
      <c r="CW39" s="2211"/>
      <c r="CX39" s="2212"/>
      <c r="CY39" s="2212"/>
      <c r="CZ39" s="2211">
        <f t="shared" si="45"/>
        <v>0</v>
      </c>
      <c r="DA39" s="2212"/>
      <c r="DB39" s="2212"/>
      <c r="DC39" s="2211"/>
      <c r="DD39" s="2211">
        <f t="shared" si="46"/>
        <v>0</v>
      </c>
      <c r="DE39" s="2212"/>
      <c r="DF39" s="2212"/>
      <c r="DG39" s="2211">
        <f t="shared" si="47"/>
        <v>0</v>
      </c>
      <c r="DH39" s="2212"/>
      <c r="DI39" s="2212"/>
      <c r="DJ39" s="2211">
        <f t="shared" si="48"/>
        <v>0</v>
      </c>
      <c r="DK39" s="2212"/>
      <c r="DL39" s="2212"/>
      <c r="DM39" s="2211"/>
      <c r="DN39" s="2211">
        <f t="shared" si="49"/>
        <v>0</v>
      </c>
      <c r="DO39" s="2212"/>
      <c r="DP39" s="2212"/>
      <c r="DQ39" s="2212"/>
      <c r="DR39" s="2211"/>
      <c r="DS39" s="2211"/>
      <c r="DT39" s="2211"/>
      <c r="DU39" s="2211"/>
      <c r="DV39" s="2211"/>
      <c r="DW39" s="2211"/>
      <c r="DX39" s="2211"/>
      <c r="DY39" s="2211"/>
      <c r="DZ39" s="2212"/>
      <c r="EA39" s="2212"/>
      <c r="EB39" s="2211"/>
      <c r="EC39" s="2211"/>
      <c r="ED39" s="2215"/>
      <c r="EE39" s="2206">
        <f t="shared" si="73"/>
        <v>0</v>
      </c>
      <c r="EF39" s="2165">
        <f t="shared" si="74"/>
        <v>0</v>
      </c>
      <c r="EG39" s="2166"/>
      <c r="EH39" s="2209">
        <f t="shared" si="54"/>
        <v>0</v>
      </c>
      <c r="EI39" s="2166">
        <f t="shared" si="7"/>
        <v>0</v>
      </c>
      <c r="EJ39" s="2209">
        <f t="shared" si="75"/>
        <v>0</v>
      </c>
      <c r="EL39" s="2208"/>
    </row>
    <row r="40" spans="1:142" ht="13.5" customHeight="1" outlineLevel="1">
      <c r="A40" s="2225">
        <v>5192</v>
      </c>
      <c r="B40" s="2198" t="s">
        <v>358</v>
      </c>
      <c r="C40" s="2209">
        <v>0</v>
      </c>
      <c r="D40" s="2209">
        <v>0</v>
      </c>
      <c r="E40" s="2209">
        <v>0</v>
      </c>
      <c r="F40" s="2209">
        <v>0</v>
      </c>
      <c r="G40" s="2209">
        <v>0</v>
      </c>
      <c r="H40" s="2209">
        <v>0</v>
      </c>
      <c r="I40" s="2209">
        <v>0</v>
      </c>
      <c r="J40" s="2209">
        <v>0</v>
      </c>
      <c r="K40" s="2209">
        <f t="shared" si="51"/>
        <v>0</v>
      </c>
      <c r="L40" s="2210"/>
      <c r="M40" s="2211"/>
      <c r="N40" s="2211"/>
      <c r="O40" s="2211"/>
      <c r="P40" s="2211"/>
      <c r="Q40" s="2211"/>
      <c r="R40" s="2211"/>
      <c r="S40" s="2211"/>
      <c r="T40" s="2211">
        <f t="shared" si="26"/>
        <v>0</v>
      </c>
      <c r="U40" s="2212"/>
      <c r="V40" s="2213"/>
      <c r="W40" s="2211"/>
      <c r="X40" s="2227">
        <f t="shared" si="56"/>
        <v>0</v>
      </c>
      <c r="Y40" s="2211"/>
      <c r="Z40" s="2211"/>
      <c r="AA40" s="2211"/>
      <c r="AB40" s="2211"/>
      <c r="AC40" s="2211"/>
      <c r="AD40" s="2211"/>
      <c r="AE40" s="2211"/>
      <c r="AF40" s="2211"/>
      <c r="AG40" s="2211"/>
      <c r="AH40" s="2211"/>
      <c r="AI40" s="2211">
        <f t="shared" si="27"/>
        <v>0</v>
      </c>
      <c r="AJ40" s="2212"/>
      <c r="AK40" s="2212"/>
      <c r="AL40" s="2211">
        <f t="shared" si="28"/>
        <v>0</v>
      </c>
      <c r="AM40" s="2212"/>
      <c r="AN40" s="2212"/>
      <c r="AO40" s="2211">
        <f t="shared" si="29"/>
        <v>0</v>
      </c>
      <c r="AP40" s="2212"/>
      <c r="AQ40" s="2212"/>
      <c r="AR40" s="2211"/>
      <c r="AS40" s="2211"/>
      <c r="AT40" s="2211"/>
      <c r="AU40" s="2211">
        <f t="shared" si="30"/>
        <v>0</v>
      </c>
      <c r="AV40" s="2212"/>
      <c r="AW40" s="2212"/>
      <c r="AX40" s="2211">
        <f t="shared" si="31"/>
        <v>0</v>
      </c>
      <c r="AY40" s="2212"/>
      <c r="AZ40" s="2212"/>
      <c r="BA40" s="2211">
        <f t="shared" si="57"/>
        <v>0</v>
      </c>
      <c r="BB40" s="2212"/>
      <c r="BC40" s="2212"/>
      <c r="BD40" s="2211">
        <f t="shared" si="58"/>
        <v>0</v>
      </c>
      <c r="BE40" s="2212"/>
      <c r="BF40" s="2212"/>
      <c r="BG40" s="2211">
        <f t="shared" si="34"/>
        <v>0</v>
      </c>
      <c r="BH40" s="2212"/>
      <c r="BI40" s="2212"/>
      <c r="BJ40" s="2211">
        <f t="shared" si="35"/>
        <v>0</v>
      </c>
      <c r="BK40" s="2212"/>
      <c r="BL40" s="2212"/>
      <c r="BM40" s="2211">
        <f t="shared" si="36"/>
        <v>0</v>
      </c>
      <c r="BN40" s="2212"/>
      <c r="BO40" s="2212"/>
      <c r="BP40" s="2211">
        <f t="shared" si="37"/>
        <v>0</v>
      </c>
      <c r="BQ40" s="2212"/>
      <c r="BR40" s="2212"/>
      <c r="BS40" s="2211">
        <f t="shared" si="38"/>
        <v>0</v>
      </c>
      <c r="BT40" s="2212"/>
      <c r="BU40" s="2212"/>
      <c r="BV40" s="2211">
        <f t="shared" si="39"/>
        <v>0</v>
      </c>
      <c r="BW40" s="2212"/>
      <c r="BX40" s="2212"/>
      <c r="BY40" s="2211">
        <f t="shared" si="40"/>
        <v>0</v>
      </c>
      <c r="BZ40" s="2212"/>
      <c r="CA40" s="2212"/>
      <c r="CB40" s="2211"/>
      <c r="CC40" s="2211">
        <f t="shared" si="41"/>
        <v>0</v>
      </c>
      <c r="CD40" s="2212"/>
      <c r="CE40" s="2212"/>
      <c r="CF40" s="2211"/>
      <c r="CG40" s="2211">
        <f t="shared" si="42"/>
        <v>0</v>
      </c>
      <c r="CH40" s="2212"/>
      <c r="CI40" s="2212"/>
      <c r="CJ40" s="2211">
        <f t="shared" si="43"/>
        <v>0</v>
      </c>
      <c r="CK40" s="2212"/>
      <c r="CL40" s="2212"/>
      <c r="CM40" s="2211"/>
      <c r="CN40" s="2211">
        <f t="shared" si="44"/>
        <v>0</v>
      </c>
      <c r="CO40" s="2212"/>
      <c r="CP40" s="2212"/>
      <c r="CQ40" s="2211"/>
      <c r="CR40" s="2212"/>
      <c r="CS40" s="2212"/>
      <c r="CT40" s="2211"/>
      <c r="CU40" s="2212"/>
      <c r="CV40" s="2212"/>
      <c r="CW40" s="2211"/>
      <c r="CX40" s="2212"/>
      <c r="CY40" s="2212"/>
      <c r="CZ40" s="2211">
        <f t="shared" si="45"/>
        <v>0</v>
      </c>
      <c r="DA40" s="2212"/>
      <c r="DB40" s="2212"/>
      <c r="DC40" s="2211"/>
      <c r="DD40" s="2211">
        <f t="shared" si="46"/>
        <v>0</v>
      </c>
      <c r="DE40" s="2212"/>
      <c r="DF40" s="2212"/>
      <c r="DG40" s="2211">
        <f t="shared" si="47"/>
        <v>0</v>
      </c>
      <c r="DH40" s="2212"/>
      <c r="DI40" s="2212"/>
      <c r="DJ40" s="2211">
        <f t="shared" si="48"/>
        <v>0</v>
      </c>
      <c r="DK40" s="2212"/>
      <c r="DL40" s="2212"/>
      <c r="DM40" s="2211"/>
      <c r="DN40" s="2211">
        <f t="shared" si="49"/>
        <v>0</v>
      </c>
      <c r="DO40" s="2212"/>
      <c r="DP40" s="2212"/>
      <c r="DQ40" s="2212"/>
      <c r="DR40" s="2211"/>
      <c r="DS40" s="2211"/>
      <c r="DT40" s="2211"/>
      <c r="DU40" s="2211"/>
      <c r="DV40" s="2211"/>
      <c r="DW40" s="2211"/>
      <c r="DX40" s="2211"/>
      <c r="DY40" s="2211"/>
      <c r="DZ40" s="2212"/>
      <c r="EA40" s="2212"/>
      <c r="EB40" s="2211"/>
      <c r="EC40" s="2211"/>
      <c r="ED40" s="2215"/>
      <c r="EE40" s="2206">
        <f t="shared" si="73"/>
        <v>0</v>
      </c>
      <c r="EF40" s="2165">
        <f t="shared" si="74"/>
        <v>0</v>
      </c>
      <c r="EG40" s="2166"/>
      <c r="EH40" s="2209">
        <f t="shared" si="54"/>
        <v>0</v>
      </c>
      <c r="EI40" s="2166">
        <f t="shared" si="7"/>
        <v>0</v>
      </c>
      <c r="EJ40" s="2209">
        <f t="shared" si="75"/>
        <v>0</v>
      </c>
      <c r="EL40" s="2208"/>
    </row>
    <row r="41" spans="1:142" ht="13.5" customHeight="1" outlineLevel="1">
      <c r="A41" s="2225">
        <v>5213</v>
      </c>
      <c r="B41" s="2198" t="s">
        <v>94</v>
      </c>
      <c r="C41" s="2209">
        <v>2978575</v>
      </c>
      <c r="D41" s="2209">
        <v>4000000</v>
      </c>
      <c r="E41" s="2209">
        <v>4000000</v>
      </c>
      <c r="F41" s="2209">
        <v>4000000</v>
      </c>
      <c r="G41" s="2209">
        <v>4000000</v>
      </c>
      <c r="H41" s="2209">
        <v>4000000</v>
      </c>
      <c r="I41" s="2209">
        <v>4000000</v>
      </c>
      <c r="J41" s="2209">
        <v>4000000</v>
      </c>
      <c r="K41" s="2209">
        <f t="shared" si="51"/>
        <v>3800000</v>
      </c>
      <c r="L41" s="2210"/>
      <c r="M41" s="2211"/>
      <c r="N41" s="2211"/>
      <c r="O41" s="2211"/>
      <c r="P41" s="2211"/>
      <c r="Q41" s="2211"/>
      <c r="R41" s="2211"/>
      <c r="S41" s="2211"/>
      <c r="T41" s="2211">
        <f t="shared" si="26"/>
        <v>0</v>
      </c>
      <c r="U41" s="2212"/>
      <c r="V41" s="2213"/>
      <c r="W41" s="2211"/>
      <c r="X41" s="2227">
        <f t="shared" si="56"/>
        <v>0</v>
      </c>
      <c r="Y41" s="2211"/>
      <c r="Z41" s="2211"/>
      <c r="AA41" s="2211"/>
      <c r="AB41" s="2211"/>
      <c r="AC41" s="2211"/>
      <c r="AD41" s="2211"/>
      <c r="AE41" s="2211"/>
      <c r="AF41" s="2211"/>
      <c r="AG41" s="2211"/>
      <c r="AH41" s="2211"/>
      <c r="AI41" s="2211">
        <f t="shared" si="27"/>
        <v>0</v>
      </c>
      <c r="AJ41" s="2212"/>
      <c r="AK41" s="2212"/>
      <c r="AL41" s="2211">
        <f t="shared" si="28"/>
        <v>0</v>
      </c>
      <c r="AM41" s="2212"/>
      <c r="AN41" s="2212"/>
      <c r="AO41" s="2211">
        <f t="shared" si="29"/>
        <v>0</v>
      </c>
      <c r="AP41" s="2212"/>
      <c r="AQ41" s="2212"/>
      <c r="AR41" s="2211"/>
      <c r="AS41" s="2211"/>
      <c r="AT41" s="2211"/>
      <c r="AU41" s="2211">
        <f t="shared" si="30"/>
        <v>0</v>
      </c>
      <c r="AV41" s="2212"/>
      <c r="AW41" s="2212"/>
      <c r="AX41" s="2211">
        <f t="shared" si="31"/>
        <v>0</v>
      </c>
      <c r="AY41" s="2212"/>
      <c r="AZ41" s="2212"/>
      <c r="BA41" s="2211">
        <f t="shared" si="57"/>
        <v>0</v>
      </c>
      <c r="BB41" s="2212"/>
      <c r="BC41" s="2212"/>
      <c r="BD41" s="2211">
        <f t="shared" si="58"/>
        <v>0</v>
      </c>
      <c r="BE41" s="2212"/>
      <c r="BF41" s="2212"/>
      <c r="BG41" s="2211">
        <f t="shared" si="34"/>
        <v>0</v>
      </c>
      <c r="BH41" s="2212"/>
      <c r="BI41" s="2212"/>
      <c r="BJ41" s="2211">
        <f t="shared" si="35"/>
        <v>0</v>
      </c>
      <c r="BK41" s="2212"/>
      <c r="BL41" s="2212"/>
      <c r="BM41" s="2211">
        <f t="shared" si="36"/>
        <v>0</v>
      </c>
      <c r="BN41" s="2212"/>
      <c r="BO41" s="2212"/>
      <c r="BP41" s="2211">
        <f t="shared" si="37"/>
        <v>0</v>
      </c>
      <c r="BQ41" s="2212"/>
      <c r="BR41" s="2212"/>
      <c r="BS41" s="2211">
        <f t="shared" si="38"/>
        <v>0</v>
      </c>
      <c r="BT41" s="2212"/>
      <c r="BU41" s="2212"/>
      <c r="BV41" s="2211">
        <f t="shared" si="39"/>
        <v>0</v>
      </c>
      <c r="BW41" s="2212"/>
      <c r="BX41" s="2212"/>
      <c r="BY41" s="2211">
        <f t="shared" si="40"/>
        <v>0</v>
      </c>
      <c r="BZ41" s="2212"/>
      <c r="CA41" s="2212"/>
      <c r="CB41" s="2211"/>
      <c r="CC41" s="2211">
        <f t="shared" si="41"/>
        <v>0</v>
      </c>
      <c r="CD41" s="2212"/>
      <c r="CE41" s="2212"/>
      <c r="CF41" s="2211"/>
      <c r="CG41" s="2211">
        <f t="shared" si="42"/>
        <v>0</v>
      </c>
      <c r="CH41" s="2212"/>
      <c r="CI41" s="2212"/>
      <c r="CJ41" s="2211">
        <f t="shared" si="43"/>
        <v>0</v>
      </c>
      <c r="CK41" s="2212"/>
      <c r="CL41" s="2212"/>
      <c r="CM41" s="2211">
        <f>+[4]Doprava!$B$11</f>
        <v>3800000</v>
      </c>
      <c r="CN41" s="2211">
        <f t="shared" si="44"/>
        <v>0</v>
      </c>
      <c r="CO41" s="2212"/>
      <c r="CP41" s="2212"/>
      <c r="CQ41" s="2211"/>
      <c r="CR41" s="2212"/>
      <c r="CS41" s="2212"/>
      <c r="CT41" s="2211"/>
      <c r="CU41" s="2212"/>
      <c r="CV41" s="2212"/>
      <c r="CW41" s="2211"/>
      <c r="CX41" s="2212"/>
      <c r="CY41" s="2212"/>
      <c r="CZ41" s="2211">
        <f t="shared" si="45"/>
        <v>0</v>
      </c>
      <c r="DA41" s="2212"/>
      <c r="DB41" s="2212"/>
      <c r="DC41" s="2211"/>
      <c r="DD41" s="2211">
        <f t="shared" si="46"/>
        <v>0</v>
      </c>
      <c r="DE41" s="2212"/>
      <c r="DF41" s="2212"/>
      <c r="DG41" s="2211">
        <f t="shared" si="47"/>
        <v>0</v>
      </c>
      <c r="DH41" s="2212"/>
      <c r="DI41" s="2212"/>
      <c r="DJ41" s="2211">
        <f t="shared" si="48"/>
        <v>0</v>
      </c>
      <c r="DK41" s="2212"/>
      <c r="DL41" s="2212"/>
      <c r="DM41" s="2211"/>
      <c r="DN41" s="2211">
        <f t="shared" si="49"/>
        <v>0</v>
      </c>
      <c r="DO41" s="2212"/>
      <c r="DP41" s="2212"/>
      <c r="DQ41" s="2212"/>
      <c r="DR41" s="2211"/>
      <c r="DS41" s="2211"/>
      <c r="DT41" s="2211"/>
      <c r="DU41" s="2211"/>
      <c r="DV41" s="2211"/>
      <c r="DW41" s="2211"/>
      <c r="DX41" s="2211"/>
      <c r="DY41" s="2211"/>
      <c r="DZ41" s="2212"/>
      <c r="EA41" s="2212"/>
      <c r="EB41" s="2211"/>
      <c r="EC41" s="2211"/>
      <c r="ED41" s="2215"/>
      <c r="EE41" s="2206">
        <f t="shared" si="73"/>
        <v>3800000</v>
      </c>
      <c r="EF41" s="2165">
        <f t="shared" si="74"/>
        <v>0</v>
      </c>
      <c r="EG41" s="2166"/>
      <c r="EH41" s="2209">
        <f t="shared" si="54"/>
        <v>3800000</v>
      </c>
      <c r="EI41" s="2166">
        <f t="shared" si="7"/>
        <v>0</v>
      </c>
      <c r="EJ41" s="2209">
        <f t="shared" si="75"/>
        <v>0</v>
      </c>
      <c r="EL41" s="2208"/>
    </row>
    <row r="42" spans="1:142" ht="13.5" customHeight="1" outlineLevel="1">
      <c r="A42" s="2225">
        <v>5194</v>
      </c>
      <c r="B42" s="2198" t="s">
        <v>95</v>
      </c>
      <c r="C42" s="2209">
        <v>310000</v>
      </c>
      <c r="D42" s="2209">
        <v>345000</v>
      </c>
      <c r="E42" s="2209">
        <v>345000</v>
      </c>
      <c r="F42" s="2209">
        <v>345000</v>
      </c>
      <c r="G42" s="2209">
        <v>345000</v>
      </c>
      <c r="H42" s="2209">
        <v>345000</v>
      </c>
      <c r="I42" s="2209">
        <v>345000</v>
      </c>
      <c r="J42" s="2209">
        <v>395000</v>
      </c>
      <c r="K42" s="2209">
        <f t="shared" si="51"/>
        <v>408000</v>
      </c>
      <c r="L42" s="2210"/>
      <c r="M42" s="2211"/>
      <c r="N42" s="2211"/>
      <c r="O42" s="2211"/>
      <c r="P42" s="2211"/>
      <c r="Q42" s="2211"/>
      <c r="R42" s="2211">
        <f>+[2]Zastupitelé!$B$80</f>
        <v>145000</v>
      </c>
      <c r="S42" s="2211"/>
      <c r="T42" s="2211">
        <f t="shared" si="26"/>
        <v>95000</v>
      </c>
      <c r="U42" s="2235">
        <f>+[2]Správa!$B$103</f>
        <v>95000</v>
      </c>
      <c r="V42" s="2213">
        <v>0</v>
      </c>
      <c r="W42" s="2211"/>
      <c r="X42" s="2227">
        <f t="shared" si="56"/>
        <v>0</v>
      </c>
      <c r="Y42" s="2211">
        <f>+'[2]Pečovatelská služba'!$B$87</f>
        <v>13000</v>
      </c>
      <c r="Z42" s="2211"/>
      <c r="AA42" s="2211"/>
      <c r="AB42" s="2211">
        <f>+'[2]Městská policie'!$B$120</f>
        <v>5000</v>
      </c>
      <c r="AC42" s="2211"/>
      <c r="AD42" s="2211"/>
      <c r="AE42" s="2211"/>
      <c r="AF42" s="2211"/>
      <c r="AG42" s="2211"/>
      <c r="AH42" s="2211">
        <f>+[2]Kultura!$B$46</f>
        <v>150000</v>
      </c>
      <c r="AI42" s="2211">
        <f t="shared" si="27"/>
        <v>0</v>
      </c>
      <c r="AJ42" s="2212"/>
      <c r="AK42" s="2212"/>
      <c r="AL42" s="2211">
        <f t="shared" si="28"/>
        <v>0</v>
      </c>
      <c r="AM42" s="2212"/>
      <c r="AN42" s="2212"/>
      <c r="AO42" s="2211">
        <f t="shared" si="29"/>
        <v>0</v>
      </c>
      <c r="AP42" s="2212"/>
      <c r="AQ42" s="2212"/>
      <c r="AR42" s="2211"/>
      <c r="AS42" s="2211"/>
      <c r="AT42" s="2211"/>
      <c r="AU42" s="2211">
        <f t="shared" si="30"/>
        <v>0</v>
      </c>
      <c r="AV42" s="2212"/>
      <c r="AW42" s="2212"/>
      <c r="AX42" s="2211">
        <f t="shared" si="31"/>
        <v>0</v>
      </c>
      <c r="AY42" s="2212"/>
      <c r="AZ42" s="2212"/>
      <c r="BA42" s="2211">
        <f t="shared" si="57"/>
        <v>0</v>
      </c>
      <c r="BB42" s="2212"/>
      <c r="BC42" s="2212"/>
      <c r="BD42" s="2211">
        <f t="shared" si="58"/>
        <v>0</v>
      </c>
      <c r="BE42" s="2212"/>
      <c r="BF42" s="2212"/>
      <c r="BG42" s="2211">
        <f t="shared" si="34"/>
        <v>0</v>
      </c>
      <c r="BH42" s="2212"/>
      <c r="BI42" s="2212"/>
      <c r="BJ42" s="2211">
        <f t="shared" si="35"/>
        <v>0</v>
      </c>
      <c r="BK42" s="2212"/>
      <c r="BL42" s="2212"/>
      <c r="BM42" s="2211">
        <f t="shared" si="36"/>
        <v>0</v>
      </c>
      <c r="BN42" s="2212"/>
      <c r="BO42" s="2212"/>
      <c r="BP42" s="2211">
        <f t="shared" si="37"/>
        <v>0</v>
      </c>
      <c r="BQ42" s="2212"/>
      <c r="BR42" s="2212"/>
      <c r="BS42" s="2211">
        <f t="shared" si="38"/>
        <v>0</v>
      </c>
      <c r="BT42" s="2212"/>
      <c r="BU42" s="2212"/>
      <c r="BV42" s="2211">
        <f t="shared" si="39"/>
        <v>0</v>
      </c>
      <c r="BW42" s="2212"/>
      <c r="BX42" s="2212"/>
      <c r="BY42" s="2211">
        <f t="shared" si="40"/>
        <v>0</v>
      </c>
      <c r="BZ42" s="2212"/>
      <c r="CA42" s="2212"/>
      <c r="CB42" s="2211"/>
      <c r="CC42" s="2211">
        <f t="shared" si="41"/>
        <v>0</v>
      </c>
      <c r="CD42" s="2212"/>
      <c r="CE42" s="2212"/>
      <c r="CF42" s="2211"/>
      <c r="CG42" s="2211">
        <f t="shared" si="42"/>
        <v>0</v>
      </c>
      <c r="CH42" s="2212"/>
      <c r="CI42" s="2212"/>
      <c r="CJ42" s="2211">
        <f t="shared" si="43"/>
        <v>0</v>
      </c>
      <c r="CK42" s="2212"/>
      <c r="CL42" s="2212"/>
      <c r="CM42" s="2211"/>
      <c r="CN42" s="2211">
        <f t="shared" si="44"/>
        <v>0</v>
      </c>
      <c r="CO42" s="2212"/>
      <c r="CP42" s="2212"/>
      <c r="CQ42" s="2211"/>
      <c r="CR42" s="2212"/>
      <c r="CS42" s="2212"/>
      <c r="CT42" s="2211"/>
      <c r="CU42" s="2212"/>
      <c r="CV42" s="2212"/>
      <c r="CW42" s="2211"/>
      <c r="CX42" s="2212"/>
      <c r="CY42" s="2212"/>
      <c r="CZ42" s="2211">
        <f t="shared" si="45"/>
        <v>0</v>
      </c>
      <c r="DA42" s="2212"/>
      <c r="DB42" s="2212"/>
      <c r="DC42" s="2211"/>
      <c r="DD42" s="2211">
        <f t="shared" si="46"/>
        <v>0</v>
      </c>
      <c r="DE42" s="2212"/>
      <c r="DF42" s="2212"/>
      <c r="DG42" s="2211">
        <f t="shared" si="47"/>
        <v>0</v>
      </c>
      <c r="DH42" s="2212"/>
      <c r="DI42" s="2212"/>
      <c r="DJ42" s="2211">
        <f t="shared" si="48"/>
        <v>0</v>
      </c>
      <c r="DK42" s="2212"/>
      <c r="DL42" s="2212"/>
      <c r="DM42" s="2211"/>
      <c r="DN42" s="2211">
        <f t="shared" si="49"/>
        <v>0</v>
      </c>
      <c r="DO42" s="2212"/>
      <c r="DP42" s="2212"/>
      <c r="DQ42" s="2212"/>
      <c r="DR42" s="2211"/>
      <c r="DS42" s="2211"/>
      <c r="DT42" s="2211"/>
      <c r="DU42" s="2211"/>
      <c r="DV42" s="2211"/>
      <c r="DW42" s="2211"/>
      <c r="DX42" s="2211"/>
      <c r="DY42" s="2211"/>
      <c r="DZ42" s="2212"/>
      <c r="EA42" s="2212"/>
      <c r="EB42" s="2211"/>
      <c r="EC42" s="2211"/>
      <c r="ED42" s="2215"/>
      <c r="EE42" s="2206">
        <f t="shared" ref="EE42:EE44" si="76">+L42+M42+N42+P42+R42+S42+T42+W42+X42+Y42+AA42+AB42+AC42+AF42+AG42+AH42+AI42+AL42+AO42+AR42+AS42+AT42+AU42+AX42+BG42+BM42+BP42+BS42+BV42+BY42+CB42+CC42+CF42+CG42+CJ42+CM42+CN42+CQ42+CT42+CW42+CZ42+DC42+DD42+DG42+DJ42+DM42+DN42+DR42+DS42+DT42+DU42+DV42+DX42+DY42+EB42+EC42+ED42+BJ42+BD42+BA42+AD42-X42+O42+Q42+Z42</f>
        <v>408000</v>
      </c>
      <c r="EF42" s="2165">
        <f t="shared" ref="EF42:EF76" si="77">EE42-K42</f>
        <v>0</v>
      </c>
      <c r="EG42" s="2166"/>
      <c r="EH42" s="2209">
        <f t="shared" si="54"/>
        <v>408000</v>
      </c>
      <c r="EI42" s="2166">
        <f t="shared" si="7"/>
        <v>0</v>
      </c>
      <c r="EJ42" s="2209">
        <f t="shared" si="75"/>
        <v>0</v>
      </c>
      <c r="EL42" s="2208"/>
    </row>
    <row r="43" spans="1:142" ht="13.5" customHeight="1" outlineLevel="1">
      <c r="A43" s="2225">
        <v>5221</v>
      </c>
      <c r="B43" s="2198" t="s">
        <v>2954</v>
      </c>
      <c r="C43" s="2209"/>
      <c r="D43" s="2209"/>
      <c r="E43" s="2209"/>
      <c r="F43" s="2209"/>
      <c r="G43" s="2209"/>
      <c r="H43" s="2209"/>
      <c r="I43" s="2209"/>
      <c r="J43" s="2209"/>
      <c r="K43" s="2209">
        <f t="shared" si="51"/>
        <v>150300</v>
      </c>
      <c r="L43" s="2210"/>
      <c r="M43" s="2211"/>
      <c r="N43" s="2211"/>
      <c r="O43" s="2211"/>
      <c r="P43" s="2211">
        <f>+'[7]Všebecná pokladna'!$B$107</f>
        <v>150300</v>
      </c>
      <c r="Q43" s="2211"/>
      <c r="R43" s="2211"/>
      <c r="S43" s="2211"/>
      <c r="T43" s="2211"/>
      <c r="U43" s="2235"/>
      <c r="V43" s="2213"/>
      <c r="W43" s="2211"/>
      <c r="X43" s="2227"/>
      <c r="Y43" s="2211"/>
      <c r="Z43" s="2211"/>
      <c r="AA43" s="2211"/>
      <c r="AB43" s="2211"/>
      <c r="AC43" s="2211"/>
      <c r="AD43" s="2211"/>
      <c r="AE43" s="2211"/>
      <c r="AF43" s="2211"/>
      <c r="AG43" s="2211"/>
      <c r="AH43" s="2211"/>
      <c r="AI43" s="2211"/>
      <c r="AJ43" s="2212"/>
      <c r="AK43" s="2212"/>
      <c r="AL43" s="2211"/>
      <c r="AM43" s="2212"/>
      <c r="AN43" s="2212"/>
      <c r="AO43" s="2211"/>
      <c r="AP43" s="2212"/>
      <c r="AQ43" s="2212"/>
      <c r="AR43" s="2211"/>
      <c r="AS43" s="2211"/>
      <c r="AT43" s="2211"/>
      <c r="AU43" s="2211"/>
      <c r="AV43" s="2212"/>
      <c r="AW43" s="2212"/>
      <c r="AX43" s="2211"/>
      <c r="AY43" s="2212"/>
      <c r="AZ43" s="2212"/>
      <c r="BA43" s="2211"/>
      <c r="BB43" s="2212"/>
      <c r="BC43" s="2212"/>
      <c r="BD43" s="2211"/>
      <c r="BE43" s="2212"/>
      <c r="BF43" s="2212"/>
      <c r="BG43" s="2211"/>
      <c r="BH43" s="2212"/>
      <c r="BI43" s="2212"/>
      <c r="BJ43" s="2211"/>
      <c r="BK43" s="2212"/>
      <c r="BL43" s="2212"/>
      <c r="BM43" s="2211"/>
      <c r="BN43" s="2212"/>
      <c r="BO43" s="2212"/>
      <c r="BP43" s="2211"/>
      <c r="BQ43" s="2212"/>
      <c r="BR43" s="2212"/>
      <c r="BS43" s="2211"/>
      <c r="BT43" s="2212"/>
      <c r="BU43" s="2212"/>
      <c r="BV43" s="2211"/>
      <c r="BW43" s="2212"/>
      <c r="BX43" s="2212"/>
      <c r="BY43" s="2211"/>
      <c r="BZ43" s="2212"/>
      <c r="CA43" s="2212"/>
      <c r="CB43" s="2211"/>
      <c r="CC43" s="2211"/>
      <c r="CD43" s="2212"/>
      <c r="CE43" s="2212"/>
      <c r="CF43" s="2211"/>
      <c r="CG43" s="2211"/>
      <c r="CH43" s="2212"/>
      <c r="CI43" s="2212"/>
      <c r="CJ43" s="2211"/>
      <c r="CK43" s="2212"/>
      <c r="CL43" s="2212"/>
      <c r="CM43" s="2211"/>
      <c r="CN43" s="2211"/>
      <c r="CO43" s="2212"/>
      <c r="CP43" s="2212"/>
      <c r="CQ43" s="2211"/>
      <c r="CR43" s="2212"/>
      <c r="CS43" s="2212"/>
      <c r="CT43" s="2211"/>
      <c r="CU43" s="2212"/>
      <c r="CV43" s="2212"/>
      <c r="CW43" s="2211"/>
      <c r="CX43" s="2212"/>
      <c r="CY43" s="2212"/>
      <c r="CZ43" s="2211"/>
      <c r="DA43" s="2212"/>
      <c r="DB43" s="2212"/>
      <c r="DC43" s="2211"/>
      <c r="DD43" s="2211"/>
      <c r="DE43" s="2212"/>
      <c r="DF43" s="2212"/>
      <c r="DG43" s="2211"/>
      <c r="DH43" s="2212"/>
      <c r="DI43" s="2212"/>
      <c r="DJ43" s="2211"/>
      <c r="DK43" s="2212"/>
      <c r="DL43" s="2212"/>
      <c r="DM43" s="2211"/>
      <c r="DN43" s="2211"/>
      <c r="DO43" s="2212"/>
      <c r="DP43" s="2212"/>
      <c r="DQ43" s="2212"/>
      <c r="DR43" s="2211"/>
      <c r="DS43" s="2211"/>
      <c r="DT43" s="2211"/>
      <c r="DU43" s="2211"/>
      <c r="DV43" s="2211"/>
      <c r="DW43" s="2211"/>
      <c r="DX43" s="2211"/>
      <c r="DY43" s="2211"/>
      <c r="DZ43" s="2212"/>
      <c r="EA43" s="2212"/>
      <c r="EB43" s="2211"/>
      <c r="EC43" s="2211"/>
      <c r="ED43" s="2215"/>
      <c r="EE43" s="2206"/>
      <c r="EF43" s="2165"/>
      <c r="EG43" s="2166"/>
      <c r="EH43" s="2209"/>
      <c r="EI43" s="2166"/>
      <c r="EJ43" s="2209"/>
      <c r="EL43" s="2208"/>
    </row>
    <row r="44" spans="1:142" ht="13.5" customHeight="1" outlineLevel="1">
      <c r="A44" s="2225">
        <v>5329</v>
      </c>
      <c r="B44" s="2198" t="s">
        <v>96</v>
      </c>
      <c r="C44" s="2209">
        <v>2514380</v>
      </c>
      <c r="D44" s="2209">
        <v>4274360</v>
      </c>
      <c r="E44" s="2209">
        <v>4274360</v>
      </c>
      <c r="F44" s="2209">
        <v>4274360</v>
      </c>
      <c r="G44" s="2209">
        <v>4274360</v>
      </c>
      <c r="H44" s="2209">
        <v>4274360</v>
      </c>
      <c r="I44" s="2209">
        <v>4274360</v>
      </c>
      <c r="J44" s="2209">
        <v>2674360</v>
      </c>
      <c r="K44" s="2209">
        <f t="shared" si="51"/>
        <v>4442000</v>
      </c>
      <c r="L44" s="2210"/>
      <c r="M44" s="2211"/>
      <c r="N44" s="2211"/>
      <c r="O44" s="2211"/>
      <c r="P44" s="2211">
        <f>+'[7]Všebecná pokladna'!$B$49</f>
        <v>3380000</v>
      </c>
      <c r="Q44" s="2211"/>
      <c r="R44" s="2211"/>
      <c r="S44" s="2211"/>
      <c r="T44" s="2211">
        <f t="shared" si="26"/>
        <v>0</v>
      </c>
      <c r="U44" s="2212"/>
      <c r="V44" s="2213"/>
      <c r="W44" s="2211"/>
      <c r="X44" s="2227">
        <f t="shared" si="56"/>
        <v>0</v>
      </c>
      <c r="Y44" s="2211"/>
      <c r="Z44" s="2211"/>
      <c r="AA44" s="2211"/>
      <c r="AB44" s="2211"/>
      <c r="AC44" s="2211"/>
      <c r="AD44" s="2211"/>
      <c r="AE44" s="2211"/>
      <c r="AF44" s="2211"/>
      <c r="AG44" s="2211"/>
      <c r="AH44" s="2211"/>
      <c r="AI44" s="2211">
        <f t="shared" si="27"/>
        <v>0</v>
      </c>
      <c r="AJ44" s="2212"/>
      <c r="AK44" s="2212"/>
      <c r="AL44" s="2211">
        <f t="shared" si="28"/>
        <v>0</v>
      </c>
      <c r="AM44" s="2212"/>
      <c r="AN44" s="2212"/>
      <c r="AO44" s="2211">
        <f t="shared" si="29"/>
        <v>0</v>
      </c>
      <c r="AP44" s="2212"/>
      <c r="AQ44" s="2212"/>
      <c r="AR44" s="2211"/>
      <c r="AS44" s="2211"/>
      <c r="AT44" s="2211"/>
      <c r="AU44" s="2211">
        <f t="shared" si="30"/>
        <v>0</v>
      </c>
      <c r="AV44" s="2212"/>
      <c r="AW44" s="2212"/>
      <c r="AX44" s="2211">
        <f t="shared" si="31"/>
        <v>0</v>
      </c>
      <c r="AY44" s="2212"/>
      <c r="AZ44" s="2212"/>
      <c r="BA44" s="2211">
        <f t="shared" si="57"/>
        <v>0</v>
      </c>
      <c r="BB44" s="2212"/>
      <c r="BC44" s="2212"/>
      <c r="BD44" s="2211">
        <f t="shared" si="58"/>
        <v>0</v>
      </c>
      <c r="BE44" s="2212"/>
      <c r="BF44" s="2212"/>
      <c r="BG44" s="2211">
        <f t="shared" si="34"/>
        <v>0</v>
      </c>
      <c r="BH44" s="2212"/>
      <c r="BI44" s="2212"/>
      <c r="BJ44" s="2211">
        <f t="shared" si="35"/>
        <v>1062000</v>
      </c>
      <c r="BK44" s="2212">
        <f>+[7]Sv.Š!$B$32</f>
        <v>1062000</v>
      </c>
      <c r="BL44" s="2212">
        <v>0</v>
      </c>
      <c r="BM44" s="2211">
        <f t="shared" si="36"/>
        <v>0</v>
      </c>
      <c r="BN44" s="2212"/>
      <c r="BO44" s="2212"/>
      <c r="BP44" s="2211">
        <f t="shared" si="37"/>
        <v>0</v>
      </c>
      <c r="BQ44" s="2212"/>
      <c r="BR44" s="2212"/>
      <c r="BS44" s="2211">
        <f t="shared" si="38"/>
        <v>0</v>
      </c>
      <c r="BT44" s="2212"/>
      <c r="BU44" s="2212"/>
      <c r="BV44" s="2211">
        <f t="shared" si="39"/>
        <v>0</v>
      </c>
      <c r="BW44" s="2212"/>
      <c r="BX44" s="2212"/>
      <c r="BY44" s="2211">
        <f t="shared" si="40"/>
        <v>0</v>
      </c>
      <c r="BZ44" s="2212"/>
      <c r="CA44" s="2212"/>
      <c r="CB44" s="2211"/>
      <c r="CC44" s="2211">
        <f t="shared" si="41"/>
        <v>0</v>
      </c>
      <c r="CD44" s="2212"/>
      <c r="CE44" s="2212"/>
      <c r="CF44" s="2211"/>
      <c r="CG44" s="2211">
        <f t="shared" si="42"/>
        <v>0</v>
      </c>
      <c r="CH44" s="2212"/>
      <c r="CI44" s="2212"/>
      <c r="CJ44" s="2211">
        <f t="shared" si="43"/>
        <v>0</v>
      </c>
      <c r="CK44" s="2212"/>
      <c r="CL44" s="2212"/>
      <c r="CM44" s="2211"/>
      <c r="CN44" s="2211">
        <f t="shared" si="44"/>
        <v>0</v>
      </c>
      <c r="CO44" s="2212"/>
      <c r="CP44" s="2212"/>
      <c r="CQ44" s="2211"/>
      <c r="CR44" s="2212"/>
      <c r="CS44" s="2212"/>
      <c r="CT44" s="2211"/>
      <c r="CU44" s="2212"/>
      <c r="CV44" s="2212"/>
      <c r="CW44" s="2211"/>
      <c r="CX44" s="2212"/>
      <c r="CY44" s="2212"/>
      <c r="CZ44" s="2211">
        <f t="shared" si="45"/>
        <v>0</v>
      </c>
      <c r="DA44" s="2212"/>
      <c r="DB44" s="2212"/>
      <c r="DC44" s="2211"/>
      <c r="DD44" s="2211">
        <f t="shared" si="46"/>
        <v>0</v>
      </c>
      <c r="DE44" s="2212"/>
      <c r="DF44" s="2212"/>
      <c r="DG44" s="2211">
        <f t="shared" si="47"/>
        <v>0</v>
      </c>
      <c r="DH44" s="2212"/>
      <c r="DI44" s="2212"/>
      <c r="DJ44" s="2211">
        <f t="shared" si="48"/>
        <v>0</v>
      </c>
      <c r="DK44" s="2212"/>
      <c r="DL44" s="2212"/>
      <c r="DM44" s="2211"/>
      <c r="DN44" s="2211">
        <f t="shared" si="49"/>
        <v>0</v>
      </c>
      <c r="DO44" s="2212"/>
      <c r="DP44" s="2212"/>
      <c r="DQ44" s="2212"/>
      <c r="DR44" s="2211"/>
      <c r="DS44" s="2211"/>
      <c r="DT44" s="2211"/>
      <c r="DU44" s="2211"/>
      <c r="DV44" s="2211"/>
      <c r="DW44" s="2211"/>
      <c r="DX44" s="2211"/>
      <c r="DY44" s="2211"/>
      <c r="DZ44" s="2212"/>
      <c r="EA44" s="2212"/>
      <c r="EB44" s="2211"/>
      <c r="EC44" s="2211"/>
      <c r="ED44" s="2215"/>
      <c r="EE44" s="2206">
        <f t="shared" si="76"/>
        <v>4442000</v>
      </c>
      <c r="EF44" s="2165">
        <f t="shared" si="77"/>
        <v>0</v>
      </c>
      <c r="EG44" s="2166"/>
      <c r="EH44" s="2209">
        <f t="shared" si="54"/>
        <v>4442000</v>
      </c>
      <c r="EI44" s="2166">
        <f t="shared" si="7"/>
        <v>0</v>
      </c>
      <c r="EJ44" s="2209">
        <f t="shared" si="75"/>
        <v>0</v>
      </c>
      <c r="EL44" s="2208"/>
    </row>
    <row r="45" spans="1:142" ht="13.5" customHeight="1" outlineLevel="1">
      <c r="A45" s="2225">
        <v>5331</v>
      </c>
      <c r="B45" s="2198" t="s">
        <v>97</v>
      </c>
      <c r="C45" s="2209">
        <v>33799900</v>
      </c>
      <c r="D45" s="2209">
        <v>53986224</v>
      </c>
      <c r="E45" s="2209">
        <v>54036224</v>
      </c>
      <c r="F45" s="2209">
        <v>54036224</v>
      </c>
      <c r="G45" s="2209">
        <v>54036224</v>
      </c>
      <c r="H45" s="2209">
        <v>54036224</v>
      </c>
      <c r="I45" s="2209">
        <v>54036224</v>
      </c>
      <c r="J45" s="2209">
        <v>55684755</v>
      </c>
      <c r="K45" s="2209">
        <f>SUM(L45:T45)+SUM(Y45:AI45)+AL45+AO45+SUM(AR45:AU45)+AX45+BG45+BM45+BP45+BS45+BV45+BY45+CB45+CC45+CF45+CG45+CJ45+SUM(CM45:CN45)+CW45+CZ45+DC45+DD45+DG45+DJ45+DM45+DN45+SUM(DR45:DY45)+CQ45+CT45+SUM(EB45:ED45)+W45+BA45+BD45+X45+BJ45</f>
        <v>58209131</v>
      </c>
      <c r="L45" s="2210"/>
      <c r="M45" s="2211"/>
      <c r="N45" s="2211"/>
      <c r="O45" s="2211"/>
      <c r="P45" s="2211"/>
      <c r="Q45" s="2211"/>
      <c r="R45" s="2211"/>
      <c r="S45" s="2211"/>
      <c r="T45" s="2211">
        <f t="shared" si="26"/>
        <v>0</v>
      </c>
      <c r="U45" s="2212"/>
      <c r="V45" s="2213"/>
      <c r="W45" s="2211"/>
      <c r="X45" s="2231">
        <v>30900000</v>
      </c>
      <c r="Y45" s="2211"/>
      <c r="Z45" s="2211"/>
      <c r="AA45" s="2211"/>
      <c r="AB45" s="2211"/>
      <c r="AC45" s="2211"/>
      <c r="AD45" s="2211"/>
      <c r="AE45" s="2211"/>
      <c r="AF45" s="2211"/>
      <c r="AG45" s="2211"/>
      <c r="AH45" s="2211"/>
      <c r="AI45" s="2211">
        <f t="shared" si="27"/>
        <v>0</v>
      </c>
      <c r="AJ45" s="2212"/>
      <c r="AK45" s="2212"/>
      <c r="AL45" s="2211">
        <f t="shared" si="28"/>
        <v>0</v>
      </c>
      <c r="AM45" s="2212"/>
      <c r="AN45" s="2212"/>
      <c r="AO45" s="2211">
        <f t="shared" si="29"/>
        <v>0</v>
      </c>
      <c r="AP45" s="2212"/>
      <c r="AQ45" s="2212"/>
      <c r="AR45" s="2211"/>
      <c r="AS45" s="2211"/>
      <c r="AT45" s="2211"/>
      <c r="AU45" s="2211">
        <f t="shared" si="30"/>
        <v>0</v>
      </c>
      <c r="AV45" s="2212"/>
      <c r="AW45" s="2212"/>
      <c r="AX45" s="2211">
        <f t="shared" si="31"/>
        <v>0</v>
      </c>
      <c r="AY45" s="2212"/>
      <c r="AZ45" s="2212"/>
      <c r="BA45" s="2211">
        <f t="shared" si="57"/>
        <v>0</v>
      </c>
      <c r="BB45" s="2212"/>
      <c r="BC45" s="2212"/>
      <c r="BD45" s="2211">
        <f t="shared" si="58"/>
        <v>0</v>
      </c>
      <c r="BE45" s="2212"/>
      <c r="BF45" s="2212"/>
      <c r="BG45" s="2232">
        <f>+BH45+BI45</f>
        <v>20700000</v>
      </c>
      <c r="BH45" s="2212">
        <f>+[7]ZŠ!$B$32</f>
        <v>20700000</v>
      </c>
      <c r="BI45" s="2212"/>
      <c r="BJ45" s="2211">
        <f t="shared" si="35"/>
        <v>0</v>
      </c>
      <c r="BK45" s="2212"/>
      <c r="BL45" s="2212"/>
      <c r="BM45" s="2211">
        <f t="shared" si="36"/>
        <v>0</v>
      </c>
      <c r="BN45" s="2212"/>
      <c r="BO45" s="2212"/>
      <c r="BP45" s="2211">
        <f t="shared" si="37"/>
        <v>1402400</v>
      </c>
      <c r="BQ45" s="2212">
        <f>+[7]MDDM!$B$4</f>
        <v>1402400</v>
      </c>
      <c r="BR45" s="2212"/>
      <c r="BS45" s="2211">
        <f t="shared" si="38"/>
        <v>0</v>
      </c>
      <c r="BT45" s="2212"/>
      <c r="BU45" s="2212"/>
      <c r="BV45" s="2211">
        <f t="shared" si="39"/>
        <v>5006731</v>
      </c>
      <c r="BW45" s="2212">
        <f>+'[7]MŠ Koll'!$B$4</f>
        <v>5006731</v>
      </c>
      <c r="BX45" s="2212"/>
      <c r="BY45" s="2211">
        <f t="shared" si="40"/>
        <v>0</v>
      </c>
      <c r="BZ45" s="2212">
        <f>+'[7]Jídelna ZŠ'!$B$4</f>
        <v>0</v>
      </c>
      <c r="CA45" s="2212"/>
      <c r="CB45" s="2211">
        <f>+'[7]Jídelna MŠ Koll.'!$B$4</f>
        <v>200000</v>
      </c>
      <c r="CC45" s="2211">
        <f t="shared" si="41"/>
        <v>0</v>
      </c>
      <c r="CD45" s="2212"/>
      <c r="CE45" s="2212"/>
      <c r="CF45" s="2211"/>
      <c r="CG45" s="2211">
        <f t="shared" si="42"/>
        <v>0</v>
      </c>
      <c r="CH45" s="2212"/>
      <c r="CI45" s="2212"/>
      <c r="CJ45" s="2211">
        <f t="shared" si="43"/>
        <v>0</v>
      </c>
      <c r="CK45" s="2212"/>
      <c r="CL45" s="2212"/>
      <c r="CM45" s="2211"/>
      <c r="CN45" s="2211">
        <f t="shared" si="44"/>
        <v>0</v>
      </c>
      <c r="CO45" s="2212"/>
      <c r="CP45" s="2212"/>
      <c r="CQ45" s="2211"/>
      <c r="CR45" s="2212"/>
      <c r="CS45" s="2212"/>
      <c r="CT45" s="2211"/>
      <c r="CU45" s="2212"/>
      <c r="CV45" s="2212"/>
      <c r="CW45" s="2211"/>
      <c r="CX45" s="2212"/>
      <c r="CY45" s="2212"/>
      <c r="CZ45" s="2211">
        <f t="shared" si="45"/>
        <v>0</v>
      </c>
      <c r="DA45" s="2212"/>
      <c r="DB45" s="2212"/>
      <c r="DC45" s="2211"/>
      <c r="DD45" s="2211">
        <f t="shared" si="46"/>
        <v>0</v>
      </c>
      <c r="DE45" s="2212"/>
      <c r="DF45" s="2212"/>
      <c r="DG45" s="2211">
        <f t="shared" si="47"/>
        <v>0</v>
      </c>
      <c r="DH45" s="2212"/>
      <c r="DI45" s="2212"/>
      <c r="DJ45" s="2211">
        <f t="shared" si="48"/>
        <v>0</v>
      </c>
      <c r="DK45" s="2212"/>
      <c r="DL45" s="2212"/>
      <c r="DM45" s="2211"/>
      <c r="DN45" s="2211">
        <f t="shared" si="49"/>
        <v>0</v>
      </c>
      <c r="DO45" s="2212"/>
      <c r="DP45" s="2212"/>
      <c r="DQ45" s="2212"/>
      <c r="DR45" s="2211"/>
      <c r="DS45" s="2211"/>
      <c r="DT45" s="2211"/>
      <c r="DU45" s="2211"/>
      <c r="DV45" s="2211"/>
      <c r="DW45" s="2211"/>
      <c r="DX45" s="2211"/>
      <c r="DY45" s="2211"/>
      <c r="DZ45" s="2212"/>
      <c r="EA45" s="2212"/>
      <c r="EB45" s="2211"/>
      <c r="EC45" s="2211"/>
      <c r="ED45" s="2215"/>
      <c r="EE45" s="2206">
        <f>+L45+M45+N45+P45+R45+S45+T45+W45+X45+Y45+AA45+AB45+AC45+AF45+AG45+AH45+AI45+AL45+AO45+AR45+AS45+AT45+AU45+AX45+BG45+BM45+BP45+BS45+BV45+BY45+CB45+CC45+CF45+CG45+CJ45+CM45+CN45+CQ45+CT45+CW45+CZ45+DC45+DD45+DG45+DJ45+DM45+DN45+DR45+DS45+DT45+DU45+DV45+DX45+DY45+EB45+EC45+ED45+BJ45+BD45+BA45+AD45-X45+O45+Q45+Z45+X45</f>
        <v>58209131</v>
      </c>
      <c r="EF45" s="2165">
        <f t="shared" si="77"/>
        <v>0</v>
      </c>
      <c r="EG45" s="2166"/>
      <c r="EH45" s="2209">
        <f t="shared" si="54"/>
        <v>27309131</v>
      </c>
      <c r="EI45" s="2166">
        <f t="shared" si="7"/>
        <v>0</v>
      </c>
      <c r="EJ45" s="2209">
        <f>+V45+AK45+AN45++AQ45+AW45+AZ45+BI45+BO45+BR45+BU45+BX45+CA45+CE45+CI45+CL45+CP45+DB45+DF45+DI45+DL45+DQ45+X45</f>
        <v>30900000</v>
      </c>
      <c r="EL45" s="2208"/>
    </row>
    <row r="46" spans="1:142" ht="13.5" customHeight="1" outlineLevel="1">
      <c r="A46" s="2225">
        <v>5361</v>
      </c>
      <c r="B46" s="2198" t="s">
        <v>98</v>
      </c>
      <c r="C46" s="2209">
        <v>40000</v>
      </c>
      <c r="D46" s="2209">
        <v>40000</v>
      </c>
      <c r="E46" s="2209">
        <v>40000</v>
      </c>
      <c r="F46" s="2209">
        <v>40000</v>
      </c>
      <c r="G46" s="2209">
        <v>40000</v>
      </c>
      <c r="H46" s="2209">
        <v>40000</v>
      </c>
      <c r="I46" s="2209">
        <v>40000</v>
      </c>
      <c r="J46" s="2209">
        <v>40000</v>
      </c>
      <c r="K46" s="2209">
        <f t="shared" si="51"/>
        <v>0</v>
      </c>
      <c r="L46" s="2210"/>
      <c r="M46" s="2211"/>
      <c r="N46" s="2211"/>
      <c r="O46" s="2211"/>
      <c r="P46" s="2211"/>
      <c r="Q46" s="2211"/>
      <c r="R46" s="2211"/>
      <c r="S46" s="2211"/>
      <c r="T46" s="2211">
        <f t="shared" si="26"/>
        <v>0</v>
      </c>
      <c r="U46" s="2235">
        <f>+[2]Správa!$B$110</f>
        <v>0</v>
      </c>
      <c r="V46" s="2213">
        <v>0</v>
      </c>
      <c r="W46" s="2211"/>
      <c r="X46" s="2227">
        <f t="shared" si="56"/>
        <v>0</v>
      </c>
      <c r="Y46" s="2211"/>
      <c r="Z46" s="2211"/>
      <c r="AA46" s="2211"/>
      <c r="AB46" s="2211">
        <f>+'[2]Městská policie'!$B$127</f>
        <v>0</v>
      </c>
      <c r="AC46" s="2211"/>
      <c r="AD46" s="2211"/>
      <c r="AE46" s="2211"/>
      <c r="AF46" s="2211"/>
      <c r="AG46" s="2211"/>
      <c r="AH46" s="2211"/>
      <c r="AI46" s="2211">
        <f t="shared" si="27"/>
        <v>0</v>
      </c>
      <c r="AJ46" s="2212"/>
      <c r="AK46" s="2212"/>
      <c r="AL46" s="2211">
        <f t="shared" si="28"/>
        <v>0</v>
      </c>
      <c r="AM46" s="2212"/>
      <c r="AN46" s="2212"/>
      <c r="AO46" s="2211">
        <f t="shared" si="29"/>
        <v>0</v>
      </c>
      <c r="AP46" s="2212"/>
      <c r="AQ46" s="2212"/>
      <c r="AR46" s="2211"/>
      <c r="AS46" s="2211"/>
      <c r="AT46" s="2211"/>
      <c r="AU46" s="2211">
        <f t="shared" si="30"/>
        <v>0</v>
      </c>
      <c r="AV46" s="2212"/>
      <c r="AW46" s="2212"/>
      <c r="AX46" s="2211">
        <f t="shared" si="31"/>
        <v>0</v>
      </c>
      <c r="AY46" s="2212"/>
      <c r="AZ46" s="2212"/>
      <c r="BA46" s="2211">
        <f t="shared" si="57"/>
        <v>0</v>
      </c>
      <c r="BB46" s="2212"/>
      <c r="BC46" s="2212"/>
      <c r="BD46" s="2211">
        <f t="shared" si="58"/>
        <v>0</v>
      </c>
      <c r="BE46" s="2212"/>
      <c r="BF46" s="2212"/>
      <c r="BG46" s="2211">
        <f t="shared" si="34"/>
        <v>0</v>
      </c>
      <c r="BH46" s="2212"/>
      <c r="BI46" s="2212"/>
      <c r="BJ46" s="2211">
        <f t="shared" si="35"/>
        <v>0</v>
      </c>
      <c r="BK46" s="2212"/>
      <c r="BL46" s="2212"/>
      <c r="BM46" s="2211">
        <f t="shared" si="36"/>
        <v>0</v>
      </c>
      <c r="BN46" s="2212"/>
      <c r="BO46" s="2212"/>
      <c r="BP46" s="2211">
        <f t="shared" si="37"/>
        <v>0</v>
      </c>
      <c r="BQ46" s="2212"/>
      <c r="BR46" s="2212"/>
      <c r="BS46" s="2211">
        <f t="shared" si="38"/>
        <v>0</v>
      </c>
      <c r="BT46" s="2212"/>
      <c r="BU46" s="2212"/>
      <c r="BV46" s="2211">
        <f t="shared" si="39"/>
        <v>0</v>
      </c>
      <c r="BW46" s="2212"/>
      <c r="BX46" s="2212"/>
      <c r="BY46" s="2211">
        <f t="shared" si="40"/>
        <v>0</v>
      </c>
      <c r="BZ46" s="2212"/>
      <c r="CA46" s="2212"/>
      <c r="CB46" s="2211"/>
      <c r="CC46" s="2211">
        <f t="shared" si="41"/>
        <v>0</v>
      </c>
      <c r="CD46" s="2212"/>
      <c r="CE46" s="2212"/>
      <c r="CF46" s="2211"/>
      <c r="CG46" s="2211">
        <f t="shared" si="42"/>
        <v>0</v>
      </c>
      <c r="CH46" s="2212"/>
      <c r="CI46" s="2212"/>
      <c r="CJ46" s="2211">
        <f t="shared" si="43"/>
        <v>0</v>
      </c>
      <c r="CK46" s="2212"/>
      <c r="CL46" s="2212"/>
      <c r="CM46" s="2211"/>
      <c r="CN46" s="2211">
        <f t="shared" si="44"/>
        <v>0</v>
      </c>
      <c r="CO46" s="2212"/>
      <c r="CP46" s="2212"/>
      <c r="CQ46" s="2211"/>
      <c r="CR46" s="2212"/>
      <c r="CS46" s="2212"/>
      <c r="CT46" s="2211"/>
      <c r="CU46" s="2212"/>
      <c r="CV46" s="2212"/>
      <c r="CW46" s="2211"/>
      <c r="CX46" s="2212"/>
      <c r="CY46" s="2212"/>
      <c r="CZ46" s="2211">
        <f t="shared" si="45"/>
        <v>0</v>
      </c>
      <c r="DA46" s="2212"/>
      <c r="DB46" s="2212"/>
      <c r="DC46" s="2211"/>
      <c r="DD46" s="2211">
        <f t="shared" si="46"/>
        <v>0</v>
      </c>
      <c r="DE46" s="2212"/>
      <c r="DF46" s="2212"/>
      <c r="DG46" s="2211">
        <f t="shared" si="47"/>
        <v>0</v>
      </c>
      <c r="DH46" s="2212"/>
      <c r="DI46" s="2212"/>
      <c r="DJ46" s="2211">
        <f t="shared" si="48"/>
        <v>0</v>
      </c>
      <c r="DK46" s="2212"/>
      <c r="DL46" s="2212"/>
      <c r="DM46" s="2211"/>
      <c r="DN46" s="2211">
        <f t="shared" si="49"/>
        <v>0</v>
      </c>
      <c r="DO46" s="2212"/>
      <c r="DP46" s="2212"/>
      <c r="DQ46" s="2212"/>
      <c r="DR46" s="2211"/>
      <c r="DS46" s="2211"/>
      <c r="DT46" s="2211"/>
      <c r="DU46" s="2211"/>
      <c r="DV46" s="2211"/>
      <c r="DW46" s="2211"/>
      <c r="DX46" s="2211"/>
      <c r="DY46" s="2211"/>
      <c r="DZ46" s="2212"/>
      <c r="EA46" s="2212"/>
      <c r="EB46" s="2211"/>
      <c r="EC46" s="2211"/>
      <c r="ED46" s="2215"/>
      <c r="EE46" s="2206">
        <f t="shared" ref="EE46:EE52" si="78">+L46+M46+N46+P46+R46+S46+T46+W46+X46+Y46+AA46+AB46+AC46+AF46+AG46+AH46+AI46+AL46+AO46+AR46+AS46+AT46+AU46+AX46+BG46+BM46+BP46+BS46+BV46+BY46+CB46+CC46+CF46+CG46+CJ46+CM46+CN46+CQ46+CT46+CW46+CZ46+DC46+DD46+DG46+DJ46+DM46+DN46+DR46+DS46+DT46+DU46+DV46+DX46+DY46+EB46+EC46+ED46+BJ46+BD46+BA46+AD46-X46+O46+Q46+Z46</f>
        <v>0</v>
      </c>
      <c r="EF46" s="2165">
        <f t="shared" si="77"/>
        <v>0</v>
      </c>
      <c r="EG46" s="2166"/>
      <c r="EH46" s="2209">
        <f t="shared" si="54"/>
        <v>0</v>
      </c>
      <c r="EI46" s="2166">
        <f t="shared" si="7"/>
        <v>0</v>
      </c>
      <c r="EJ46" s="2209">
        <f>+V46+AK46+AN46++AQ46+AW46+AZ46+BI46+BO46+BR46+BU46+BX46+CA46+CE46+CI46+CL46+CP46+DB46+DF46+DI46+DL46+DQ46</f>
        <v>0</v>
      </c>
      <c r="EL46" s="2208"/>
    </row>
    <row r="47" spans="1:142" ht="13.5" customHeight="1" outlineLevel="1">
      <c r="A47" s="2225">
        <v>5362</v>
      </c>
      <c r="B47" s="2198" t="s">
        <v>99</v>
      </c>
      <c r="C47" s="2209">
        <v>1130000</v>
      </c>
      <c r="D47" s="2209">
        <v>3690000</v>
      </c>
      <c r="E47" s="2209">
        <v>3690000</v>
      </c>
      <c r="F47" s="2209">
        <v>3690000</v>
      </c>
      <c r="G47" s="2209">
        <v>3690000</v>
      </c>
      <c r="H47" s="2209">
        <v>3690000</v>
      </c>
      <c r="I47" s="2209">
        <v>3690000</v>
      </c>
      <c r="J47" s="2209">
        <v>3690000</v>
      </c>
      <c r="K47" s="2209">
        <f t="shared" si="51"/>
        <v>2984000</v>
      </c>
      <c r="L47" s="2210"/>
      <c r="M47" s="2211"/>
      <c r="N47" s="2211"/>
      <c r="O47" s="2211"/>
      <c r="P47" s="2211">
        <f>+'[7]Všebecná pokladna'!$B$57+'[3]Všeob. pokladna'!$B$39</f>
        <v>2900000</v>
      </c>
      <c r="Q47" s="2211"/>
      <c r="R47" s="2211"/>
      <c r="S47" s="2211"/>
      <c r="T47" s="2211">
        <f t="shared" si="26"/>
        <v>67000</v>
      </c>
      <c r="U47" s="2235">
        <f>+[2]Správa!$B$117</f>
        <v>67000</v>
      </c>
      <c r="V47" s="2213">
        <v>0</v>
      </c>
      <c r="W47" s="2211"/>
      <c r="X47" s="2227">
        <f t="shared" si="56"/>
        <v>0</v>
      </c>
      <c r="Y47" s="2211">
        <f>+'[2]Pečovatelská služba'!$B$94</f>
        <v>3000</v>
      </c>
      <c r="Z47" s="2211"/>
      <c r="AA47" s="2211"/>
      <c r="AB47" s="2211">
        <f>+'[2]Městská policie'!$B$134</f>
        <v>4000</v>
      </c>
      <c r="AC47" s="2211"/>
      <c r="AD47" s="2211"/>
      <c r="AE47" s="2211"/>
      <c r="AF47" s="2211">
        <f>+[2]Knihovna!$B$97</f>
        <v>2000</v>
      </c>
      <c r="AG47" s="2211"/>
      <c r="AH47" s="2211">
        <f>+[2]Kultura!$B$53</f>
        <v>8000</v>
      </c>
      <c r="AI47" s="2211">
        <f t="shared" si="27"/>
        <v>0</v>
      </c>
      <c r="AJ47" s="2212"/>
      <c r="AK47" s="2212"/>
      <c r="AL47" s="2211">
        <f t="shared" si="28"/>
        <v>0</v>
      </c>
      <c r="AM47" s="2212"/>
      <c r="AN47" s="2212"/>
      <c r="AO47" s="2211">
        <f t="shared" si="29"/>
        <v>0</v>
      </c>
      <c r="AP47" s="2212"/>
      <c r="AQ47" s="2212"/>
      <c r="AR47" s="2211"/>
      <c r="AS47" s="2211"/>
      <c r="AT47" s="2211"/>
      <c r="AU47" s="2211">
        <f t="shared" si="30"/>
        <v>0</v>
      </c>
      <c r="AV47" s="2212"/>
      <c r="AW47" s="2212"/>
      <c r="AX47" s="2211">
        <f t="shared" si="31"/>
        <v>0</v>
      </c>
      <c r="AY47" s="2212"/>
      <c r="AZ47" s="2212"/>
      <c r="BA47" s="2211">
        <f t="shared" si="57"/>
        <v>0</v>
      </c>
      <c r="BB47" s="2212"/>
      <c r="BC47" s="2212"/>
      <c r="BD47" s="2211">
        <f t="shared" si="58"/>
        <v>0</v>
      </c>
      <c r="BE47" s="2212"/>
      <c r="BF47" s="2212"/>
      <c r="BG47" s="2211">
        <f t="shared" si="34"/>
        <v>0</v>
      </c>
      <c r="BH47" s="2212"/>
      <c r="BI47" s="2212"/>
      <c r="BJ47" s="2211">
        <f t="shared" si="35"/>
        <v>0</v>
      </c>
      <c r="BK47" s="2212"/>
      <c r="BL47" s="2212"/>
      <c r="BM47" s="2211">
        <f t="shared" si="36"/>
        <v>0</v>
      </c>
      <c r="BN47" s="2212"/>
      <c r="BO47" s="2212"/>
      <c r="BP47" s="2211">
        <f t="shared" si="37"/>
        <v>0</v>
      </c>
      <c r="BQ47" s="2212"/>
      <c r="BR47" s="2212"/>
      <c r="BS47" s="2211">
        <f t="shared" si="38"/>
        <v>0</v>
      </c>
      <c r="BT47" s="2212"/>
      <c r="BU47" s="2212"/>
      <c r="BV47" s="2211">
        <f t="shared" si="39"/>
        <v>0</v>
      </c>
      <c r="BW47" s="2212"/>
      <c r="BX47" s="2212"/>
      <c r="BY47" s="2211">
        <f t="shared" si="40"/>
        <v>0</v>
      </c>
      <c r="BZ47" s="2212"/>
      <c r="CA47" s="2212"/>
      <c r="CB47" s="2211"/>
      <c r="CC47" s="2211">
        <f t="shared" si="41"/>
        <v>0</v>
      </c>
      <c r="CD47" s="2212"/>
      <c r="CE47" s="2212"/>
      <c r="CF47" s="2211"/>
      <c r="CG47" s="2211">
        <f t="shared" si="42"/>
        <v>0</v>
      </c>
      <c r="CH47" s="2212"/>
      <c r="CI47" s="2212"/>
      <c r="CJ47" s="2211">
        <f t="shared" si="43"/>
        <v>0</v>
      </c>
      <c r="CK47" s="2212">
        <f>+'[4]Silnice světelná křižovatka'!$B$28</f>
        <v>0</v>
      </c>
      <c r="CL47" s="2212"/>
      <c r="CM47" s="2211"/>
      <c r="CN47" s="2211">
        <f t="shared" si="44"/>
        <v>0</v>
      </c>
      <c r="CO47" s="2212"/>
      <c r="CP47" s="2212"/>
      <c r="CQ47" s="2211"/>
      <c r="CR47" s="2212"/>
      <c r="CS47" s="2212"/>
      <c r="CT47" s="2211"/>
      <c r="CU47" s="2212"/>
      <c r="CV47" s="2212"/>
      <c r="CW47" s="2211"/>
      <c r="CX47" s="2212"/>
      <c r="CY47" s="2212"/>
      <c r="CZ47" s="2211">
        <f t="shared" si="45"/>
        <v>0</v>
      </c>
      <c r="DA47" s="2212"/>
      <c r="DB47" s="2212"/>
      <c r="DC47" s="2211"/>
      <c r="DD47" s="2211">
        <f t="shared" si="46"/>
        <v>0</v>
      </c>
      <c r="DE47" s="2212"/>
      <c r="DF47" s="2212"/>
      <c r="DG47" s="2211">
        <f t="shared" si="47"/>
        <v>0</v>
      </c>
      <c r="DH47" s="2212"/>
      <c r="DI47" s="2212"/>
      <c r="DJ47" s="2211">
        <f t="shared" si="48"/>
        <v>0</v>
      </c>
      <c r="DK47" s="2212"/>
      <c r="DL47" s="2212"/>
      <c r="DM47" s="2211"/>
      <c r="DN47" s="2211">
        <f t="shared" si="49"/>
        <v>0</v>
      </c>
      <c r="DO47" s="2212"/>
      <c r="DP47" s="2212"/>
      <c r="DQ47" s="2212"/>
      <c r="DR47" s="2211"/>
      <c r="DS47" s="2211"/>
      <c r="DT47" s="2211"/>
      <c r="DU47" s="2211"/>
      <c r="DV47" s="2211"/>
      <c r="DW47" s="2211"/>
      <c r="DX47" s="2211"/>
      <c r="DY47" s="2211"/>
      <c r="DZ47" s="2212"/>
      <c r="EA47" s="2212"/>
      <c r="EB47" s="2211"/>
      <c r="EC47" s="2211"/>
      <c r="ED47" s="2215"/>
      <c r="EE47" s="2206">
        <f t="shared" si="78"/>
        <v>2984000</v>
      </c>
      <c r="EF47" s="2165">
        <f t="shared" si="77"/>
        <v>0</v>
      </c>
      <c r="EG47" s="2166"/>
      <c r="EH47" s="2209">
        <f t="shared" si="54"/>
        <v>2984000</v>
      </c>
      <c r="EI47" s="2166">
        <f t="shared" si="7"/>
        <v>0</v>
      </c>
      <c r="EJ47" s="2209">
        <f>+V47+AK47+AN47++AQ47+AW47+AZ47+BI47+BO47+BR47+BU47+BX47+CA47+CE47+CI47+CL47+CP47+DB47+DF47+DI47+DL47+DQ47</f>
        <v>0</v>
      </c>
      <c r="EL47" s="2208"/>
    </row>
    <row r="48" spans="1:142" ht="13.5" customHeight="1" outlineLevel="1">
      <c r="A48" s="2225">
        <v>5363</v>
      </c>
      <c r="B48" s="2198" t="s">
        <v>775</v>
      </c>
      <c r="C48" s="2209">
        <v>0</v>
      </c>
      <c r="D48" s="2209">
        <v>0</v>
      </c>
      <c r="E48" s="2209">
        <v>0</v>
      </c>
      <c r="F48" s="2209">
        <v>0</v>
      </c>
      <c r="G48" s="2209">
        <v>0</v>
      </c>
      <c r="H48" s="2209">
        <v>0</v>
      </c>
      <c r="I48" s="2209">
        <v>10829500</v>
      </c>
      <c r="J48" s="2209">
        <v>0</v>
      </c>
      <c r="K48" s="2209">
        <f t="shared" si="51"/>
        <v>0</v>
      </c>
      <c r="L48" s="2210"/>
      <c r="M48" s="2211"/>
      <c r="N48" s="2211"/>
      <c r="O48" s="2211"/>
      <c r="P48" s="2211">
        <f>+'[3]Všeob. pokladna'!$B$46</f>
        <v>0</v>
      </c>
      <c r="Q48" s="2211"/>
      <c r="R48" s="2211"/>
      <c r="S48" s="2211"/>
      <c r="T48" s="2211">
        <f t="shared" si="26"/>
        <v>0</v>
      </c>
      <c r="U48" s="2212"/>
      <c r="V48" s="2213"/>
      <c r="W48" s="2211"/>
      <c r="X48" s="2227">
        <f t="shared" si="56"/>
        <v>0</v>
      </c>
      <c r="Y48" s="2211"/>
      <c r="Z48" s="2211"/>
      <c r="AA48" s="2211"/>
      <c r="AB48" s="2211"/>
      <c r="AC48" s="2211"/>
      <c r="AD48" s="2211"/>
      <c r="AE48" s="2211"/>
      <c r="AF48" s="2211"/>
      <c r="AG48" s="2211"/>
      <c r="AH48" s="2211"/>
      <c r="AI48" s="2211"/>
      <c r="AJ48" s="2212"/>
      <c r="AK48" s="2212"/>
      <c r="AL48" s="2211"/>
      <c r="AM48" s="2212"/>
      <c r="AN48" s="2212"/>
      <c r="AO48" s="2211"/>
      <c r="AP48" s="2212"/>
      <c r="AQ48" s="2212"/>
      <c r="AR48" s="2211"/>
      <c r="AS48" s="2211"/>
      <c r="AT48" s="2211"/>
      <c r="AU48" s="2211"/>
      <c r="AV48" s="2212"/>
      <c r="AW48" s="2212"/>
      <c r="AX48" s="2211"/>
      <c r="AY48" s="2212"/>
      <c r="AZ48" s="2212"/>
      <c r="BA48" s="2211"/>
      <c r="BB48" s="2212"/>
      <c r="BC48" s="2212"/>
      <c r="BD48" s="2211"/>
      <c r="BE48" s="2212"/>
      <c r="BF48" s="2212"/>
      <c r="BG48" s="2211"/>
      <c r="BH48" s="2212"/>
      <c r="BI48" s="2212"/>
      <c r="BJ48" s="2211"/>
      <c r="BK48" s="2212"/>
      <c r="BL48" s="2212"/>
      <c r="BM48" s="2211"/>
      <c r="BN48" s="2212"/>
      <c r="BO48" s="2212"/>
      <c r="BP48" s="2211"/>
      <c r="BQ48" s="2212"/>
      <c r="BR48" s="2212"/>
      <c r="BS48" s="2211"/>
      <c r="BT48" s="2212"/>
      <c r="BU48" s="2212"/>
      <c r="BV48" s="2211"/>
      <c r="BW48" s="2212"/>
      <c r="BX48" s="2212"/>
      <c r="BY48" s="2211"/>
      <c r="BZ48" s="2212"/>
      <c r="CA48" s="2212"/>
      <c r="CB48" s="2211"/>
      <c r="CC48" s="2211"/>
      <c r="CD48" s="2212"/>
      <c r="CE48" s="2212"/>
      <c r="CF48" s="2211"/>
      <c r="CG48" s="2211"/>
      <c r="CH48" s="2212"/>
      <c r="CI48" s="2212"/>
      <c r="CJ48" s="2211"/>
      <c r="CK48" s="2212"/>
      <c r="CL48" s="2212"/>
      <c r="CM48" s="2211"/>
      <c r="CN48" s="2211">
        <f t="shared" si="44"/>
        <v>0</v>
      </c>
      <c r="CO48" s="2212">
        <f>+[3]Vodovod!$D$27</f>
        <v>0</v>
      </c>
      <c r="CP48" s="2212">
        <f>+[3]Vodovod!$E$27</f>
        <v>0</v>
      </c>
      <c r="CQ48" s="2211"/>
      <c r="CR48" s="2212"/>
      <c r="CS48" s="2212"/>
      <c r="CT48" s="2211"/>
      <c r="CU48" s="2212"/>
      <c r="CV48" s="2212"/>
      <c r="CW48" s="2211"/>
      <c r="CX48" s="2212"/>
      <c r="CY48" s="2212"/>
      <c r="CZ48" s="2211"/>
      <c r="DA48" s="2212"/>
      <c r="DB48" s="2212"/>
      <c r="DC48" s="2211"/>
      <c r="DD48" s="2211"/>
      <c r="DE48" s="2212"/>
      <c r="DF48" s="2212"/>
      <c r="DG48" s="2211"/>
      <c r="DH48" s="2212"/>
      <c r="DI48" s="2212"/>
      <c r="DJ48" s="2211"/>
      <c r="DK48" s="2212"/>
      <c r="DL48" s="2212"/>
      <c r="DM48" s="2211"/>
      <c r="DN48" s="2211"/>
      <c r="DO48" s="2212"/>
      <c r="DP48" s="2212"/>
      <c r="DQ48" s="2212"/>
      <c r="DR48" s="2211"/>
      <c r="DS48" s="2211"/>
      <c r="DT48" s="2211"/>
      <c r="DU48" s="2211"/>
      <c r="DV48" s="2211"/>
      <c r="DW48" s="2211"/>
      <c r="DX48" s="2211"/>
      <c r="DY48" s="2211"/>
      <c r="DZ48" s="2212"/>
      <c r="EA48" s="2212"/>
      <c r="EB48" s="2211"/>
      <c r="EC48" s="2211"/>
      <c r="ED48" s="2215"/>
      <c r="EE48" s="2206">
        <f t="shared" si="78"/>
        <v>0</v>
      </c>
      <c r="EF48" s="2165">
        <f t="shared" si="77"/>
        <v>0</v>
      </c>
      <c r="EG48" s="2166"/>
      <c r="EH48" s="2209">
        <f t="shared" si="54"/>
        <v>0</v>
      </c>
      <c r="EI48" s="2166">
        <f t="shared" si="7"/>
        <v>0</v>
      </c>
      <c r="EJ48" s="2209"/>
      <c r="EL48" s="2208"/>
    </row>
    <row r="49" spans="1:142" ht="13.5" customHeight="1" outlineLevel="1">
      <c r="A49" s="2225">
        <v>5492</v>
      </c>
      <c r="B49" s="2198" t="s">
        <v>100</v>
      </c>
      <c r="C49" s="2209">
        <v>925000</v>
      </c>
      <c r="D49" s="2209">
        <v>470000</v>
      </c>
      <c r="E49" s="2209">
        <v>470000</v>
      </c>
      <c r="F49" s="2209">
        <v>470000</v>
      </c>
      <c r="G49" s="2209">
        <v>470000</v>
      </c>
      <c r="H49" s="2209">
        <v>470000</v>
      </c>
      <c r="I49" s="2209">
        <v>470000</v>
      </c>
      <c r="J49" s="2209">
        <v>470000</v>
      </c>
      <c r="K49" s="2209">
        <f t="shared" si="51"/>
        <v>475000</v>
      </c>
      <c r="L49" s="2210"/>
      <c r="M49" s="2211"/>
      <c r="N49" s="2211"/>
      <c r="O49" s="2211"/>
      <c r="P49" s="2211"/>
      <c r="Q49" s="2211"/>
      <c r="R49" s="2211">
        <f>+[2]Zastupitelé!$B$88</f>
        <v>475000</v>
      </c>
      <c r="S49" s="2211"/>
      <c r="T49" s="2211">
        <f t="shared" si="26"/>
        <v>0</v>
      </c>
      <c r="U49" s="2212"/>
      <c r="V49" s="2213"/>
      <c r="W49" s="2211"/>
      <c r="X49" s="2227">
        <f t="shared" si="56"/>
        <v>0</v>
      </c>
      <c r="Y49" s="2211"/>
      <c r="Z49" s="2211"/>
      <c r="AA49" s="2211"/>
      <c r="AB49" s="2211"/>
      <c r="AC49" s="2211"/>
      <c r="AD49" s="2211"/>
      <c r="AE49" s="2211"/>
      <c r="AF49" s="2211"/>
      <c r="AG49" s="2211"/>
      <c r="AH49" s="2211">
        <f>+[2]Kultura!$B$60</f>
        <v>0</v>
      </c>
      <c r="AI49" s="2211">
        <f t="shared" si="27"/>
        <v>0</v>
      </c>
      <c r="AJ49" s="2212"/>
      <c r="AK49" s="2212"/>
      <c r="AL49" s="2211">
        <f t="shared" si="28"/>
        <v>0</v>
      </c>
      <c r="AM49" s="2212"/>
      <c r="AN49" s="2212"/>
      <c r="AO49" s="2211">
        <f t="shared" si="29"/>
        <v>0</v>
      </c>
      <c r="AP49" s="2212"/>
      <c r="AQ49" s="2212"/>
      <c r="AR49" s="2211"/>
      <c r="AS49" s="2211"/>
      <c r="AT49" s="2211"/>
      <c r="AU49" s="2211">
        <f t="shared" si="30"/>
        <v>0</v>
      </c>
      <c r="AV49" s="2212"/>
      <c r="AW49" s="2212"/>
      <c r="AX49" s="2211">
        <f t="shared" si="31"/>
        <v>0</v>
      </c>
      <c r="AY49" s="2212"/>
      <c r="AZ49" s="2212"/>
      <c r="BA49" s="2211">
        <f t="shared" ref="BA49:BA51" si="79">+BB49+BC49</f>
        <v>0</v>
      </c>
      <c r="BB49" s="2212"/>
      <c r="BC49" s="2212"/>
      <c r="BD49" s="2211">
        <f t="shared" ref="BD49:BD51" si="80">+BE49+BF49</f>
        <v>0</v>
      </c>
      <c r="BE49" s="2212"/>
      <c r="BF49" s="2212"/>
      <c r="BG49" s="2211">
        <f t="shared" si="34"/>
        <v>0</v>
      </c>
      <c r="BH49" s="2212"/>
      <c r="BI49" s="2212"/>
      <c r="BJ49" s="2211">
        <f t="shared" ref="BJ49:BJ51" si="81">+BK49+BL49</f>
        <v>0</v>
      </c>
      <c r="BK49" s="2212"/>
      <c r="BL49" s="2212"/>
      <c r="BM49" s="2211">
        <f t="shared" si="36"/>
        <v>0</v>
      </c>
      <c r="BN49" s="2212"/>
      <c r="BO49" s="2212"/>
      <c r="BP49" s="2211">
        <f t="shared" si="37"/>
        <v>0</v>
      </c>
      <c r="BQ49" s="2212"/>
      <c r="BR49" s="2212"/>
      <c r="BS49" s="2211">
        <f t="shared" si="38"/>
        <v>0</v>
      </c>
      <c r="BT49" s="2212"/>
      <c r="BU49" s="2212"/>
      <c r="BV49" s="2211">
        <f t="shared" si="39"/>
        <v>0</v>
      </c>
      <c r="BW49" s="2212"/>
      <c r="BX49" s="2212"/>
      <c r="BY49" s="2211">
        <f t="shared" si="40"/>
        <v>0</v>
      </c>
      <c r="BZ49" s="2212"/>
      <c r="CA49" s="2212"/>
      <c r="CB49" s="2211"/>
      <c r="CC49" s="2211">
        <f t="shared" si="41"/>
        <v>0</v>
      </c>
      <c r="CD49" s="2212"/>
      <c r="CE49" s="2212"/>
      <c r="CF49" s="2211"/>
      <c r="CG49" s="2211">
        <f t="shared" si="42"/>
        <v>0</v>
      </c>
      <c r="CH49" s="2212"/>
      <c r="CI49" s="2212"/>
      <c r="CJ49" s="2211">
        <f t="shared" si="43"/>
        <v>0</v>
      </c>
      <c r="CK49" s="2212"/>
      <c r="CL49" s="2212"/>
      <c r="CM49" s="2211"/>
      <c r="CN49" s="2211">
        <f t="shared" si="44"/>
        <v>0</v>
      </c>
      <c r="CO49" s="2212"/>
      <c r="CP49" s="2212"/>
      <c r="CQ49" s="2211"/>
      <c r="CR49" s="2212"/>
      <c r="CS49" s="2212"/>
      <c r="CT49" s="2211"/>
      <c r="CU49" s="2212"/>
      <c r="CV49" s="2212"/>
      <c r="CW49" s="2211"/>
      <c r="CX49" s="2212"/>
      <c r="CY49" s="2212"/>
      <c r="CZ49" s="2211">
        <f t="shared" si="45"/>
        <v>0</v>
      </c>
      <c r="DA49" s="2212"/>
      <c r="DB49" s="2212"/>
      <c r="DC49" s="2211"/>
      <c r="DD49" s="2211">
        <f t="shared" si="46"/>
        <v>0</v>
      </c>
      <c r="DE49" s="2212"/>
      <c r="DF49" s="2212"/>
      <c r="DG49" s="2211">
        <f t="shared" si="47"/>
        <v>0</v>
      </c>
      <c r="DH49" s="2212"/>
      <c r="DI49" s="2212"/>
      <c r="DJ49" s="2211">
        <f t="shared" si="48"/>
        <v>0</v>
      </c>
      <c r="DK49" s="2212"/>
      <c r="DL49" s="2212"/>
      <c r="DM49" s="2211"/>
      <c r="DN49" s="2211">
        <f t="shared" si="49"/>
        <v>0</v>
      </c>
      <c r="DO49" s="2212"/>
      <c r="DP49" s="2212"/>
      <c r="DQ49" s="2212"/>
      <c r="DR49" s="2211"/>
      <c r="DS49" s="2211"/>
      <c r="DT49" s="2211"/>
      <c r="DU49" s="2211"/>
      <c r="DV49" s="2211"/>
      <c r="DW49" s="2211"/>
      <c r="DX49" s="2211"/>
      <c r="DY49" s="2211"/>
      <c r="DZ49" s="2212"/>
      <c r="EA49" s="2212"/>
      <c r="EB49" s="2211"/>
      <c r="EC49" s="2211"/>
      <c r="ED49" s="2215"/>
      <c r="EE49" s="2206">
        <f t="shared" si="78"/>
        <v>475000</v>
      </c>
      <c r="EF49" s="2165">
        <f t="shared" si="77"/>
        <v>0</v>
      </c>
      <c r="EG49" s="2166"/>
      <c r="EH49" s="2209">
        <f t="shared" si="54"/>
        <v>475000</v>
      </c>
      <c r="EI49" s="2166">
        <f t="shared" si="7"/>
        <v>0</v>
      </c>
      <c r="EJ49" s="2209">
        <f>+V49+AK49+AN49++AQ49+AW49+AZ49+BI49+BO49+BR49+BU49+BX49+CA49+CE49+CI49+CL49+CP49+DB49+DF49+DI49+DL49+DQ49</f>
        <v>0</v>
      </c>
      <c r="EL49" s="2208"/>
    </row>
    <row r="50" spans="1:142" ht="13.5" customHeight="1" outlineLevel="1">
      <c r="A50" s="2225">
        <v>5499</v>
      </c>
      <c r="B50" s="2198" t="s">
        <v>745</v>
      </c>
      <c r="C50" s="2209">
        <v>1620000</v>
      </c>
      <c r="D50" s="2209">
        <v>1980000</v>
      </c>
      <c r="E50" s="2209">
        <v>1980000</v>
      </c>
      <c r="F50" s="2209">
        <v>1980000</v>
      </c>
      <c r="G50" s="2209">
        <v>1980000</v>
      </c>
      <c r="H50" s="2209">
        <v>1980000</v>
      </c>
      <c r="I50" s="2209">
        <v>1980000</v>
      </c>
      <c r="J50" s="2209">
        <v>1980000</v>
      </c>
      <c r="K50" s="2209">
        <f t="shared" si="51"/>
        <v>1980000</v>
      </c>
      <c r="L50" s="2210"/>
      <c r="M50" s="2211"/>
      <c r="N50" s="2211"/>
      <c r="O50" s="2211"/>
      <c r="P50" s="2211">
        <f>+'[7]Všebecná pokladna'!$B$64</f>
        <v>1980000</v>
      </c>
      <c r="Q50" s="2211"/>
      <c r="R50" s="2211"/>
      <c r="S50" s="2211"/>
      <c r="T50" s="2211">
        <f t="shared" si="26"/>
        <v>0</v>
      </c>
      <c r="U50" s="2212"/>
      <c r="V50" s="2213"/>
      <c r="W50" s="2211"/>
      <c r="X50" s="2227">
        <f t="shared" si="56"/>
        <v>0</v>
      </c>
      <c r="Y50" s="2211"/>
      <c r="Z50" s="2211"/>
      <c r="AA50" s="2211"/>
      <c r="AB50" s="2211"/>
      <c r="AC50" s="2211"/>
      <c r="AD50" s="2211"/>
      <c r="AE50" s="2211"/>
      <c r="AF50" s="2211"/>
      <c r="AG50" s="2211"/>
      <c r="AH50" s="2211"/>
      <c r="AI50" s="2211">
        <f t="shared" si="27"/>
        <v>0</v>
      </c>
      <c r="AJ50" s="2212"/>
      <c r="AK50" s="2212"/>
      <c r="AL50" s="2211">
        <f t="shared" si="28"/>
        <v>0</v>
      </c>
      <c r="AM50" s="2212"/>
      <c r="AN50" s="2212"/>
      <c r="AO50" s="2211">
        <f t="shared" si="29"/>
        <v>0</v>
      </c>
      <c r="AP50" s="2212"/>
      <c r="AQ50" s="2212"/>
      <c r="AR50" s="2211"/>
      <c r="AS50" s="2211"/>
      <c r="AT50" s="2211"/>
      <c r="AU50" s="2211">
        <f t="shared" si="30"/>
        <v>0</v>
      </c>
      <c r="AV50" s="2212"/>
      <c r="AW50" s="2212"/>
      <c r="AX50" s="2211">
        <f t="shared" si="31"/>
        <v>0</v>
      </c>
      <c r="AY50" s="2212"/>
      <c r="AZ50" s="2212"/>
      <c r="BA50" s="2211">
        <f t="shared" si="79"/>
        <v>0</v>
      </c>
      <c r="BB50" s="2212"/>
      <c r="BC50" s="2212"/>
      <c r="BD50" s="2211">
        <f t="shared" si="80"/>
        <v>0</v>
      </c>
      <c r="BE50" s="2212"/>
      <c r="BF50" s="2212"/>
      <c r="BG50" s="2211">
        <f t="shared" si="34"/>
        <v>0</v>
      </c>
      <c r="BH50" s="2212"/>
      <c r="BI50" s="2212"/>
      <c r="BJ50" s="2211">
        <f t="shared" si="81"/>
        <v>0</v>
      </c>
      <c r="BK50" s="2212"/>
      <c r="BL50" s="2212"/>
      <c r="BM50" s="2211">
        <f t="shared" si="36"/>
        <v>0</v>
      </c>
      <c r="BN50" s="2212"/>
      <c r="BO50" s="2212"/>
      <c r="BP50" s="2211">
        <f t="shared" si="37"/>
        <v>0</v>
      </c>
      <c r="BQ50" s="2212"/>
      <c r="BR50" s="2212"/>
      <c r="BS50" s="2211">
        <f t="shared" si="38"/>
        <v>0</v>
      </c>
      <c r="BT50" s="2212"/>
      <c r="BU50" s="2212"/>
      <c r="BV50" s="2211">
        <f t="shared" si="39"/>
        <v>0</v>
      </c>
      <c r="BW50" s="2212"/>
      <c r="BX50" s="2212"/>
      <c r="BY50" s="2211">
        <f t="shared" si="40"/>
        <v>0</v>
      </c>
      <c r="BZ50" s="2212"/>
      <c r="CA50" s="2212"/>
      <c r="CB50" s="2211"/>
      <c r="CC50" s="2211">
        <f t="shared" si="41"/>
        <v>0</v>
      </c>
      <c r="CD50" s="2212"/>
      <c r="CE50" s="2212"/>
      <c r="CF50" s="2211"/>
      <c r="CG50" s="2211">
        <f t="shared" si="42"/>
        <v>0</v>
      </c>
      <c r="CH50" s="2212"/>
      <c r="CI50" s="2212"/>
      <c r="CJ50" s="2211">
        <f t="shared" si="43"/>
        <v>0</v>
      </c>
      <c r="CK50" s="2212"/>
      <c r="CL50" s="2212"/>
      <c r="CM50" s="2211"/>
      <c r="CN50" s="2211">
        <f t="shared" si="44"/>
        <v>0</v>
      </c>
      <c r="CO50" s="2212"/>
      <c r="CP50" s="2212"/>
      <c r="CQ50" s="2211"/>
      <c r="CR50" s="2212"/>
      <c r="CS50" s="2212"/>
      <c r="CT50" s="2211"/>
      <c r="CU50" s="2212"/>
      <c r="CV50" s="2212"/>
      <c r="CW50" s="2211"/>
      <c r="CX50" s="2212"/>
      <c r="CY50" s="2212"/>
      <c r="CZ50" s="2211">
        <f t="shared" si="45"/>
        <v>0</v>
      </c>
      <c r="DA50" s="2212"/>
      <c r="DB50" s="2212"/>
      <c r="DC50" s="2211"/>
      <c r="DD50" s="2211">
        <f t="shared" si="46"/>
        <v>0</v>
      </c>
      <c r="DE50" s="2212"/>
      <c r="DF50" s="2212"/>
      <c r="DG50" s="2211">
        <f t="shared" si="47"/>
        <v>0</v>
      </c>
      <c r="DH50" s="2212"/>
      <c r="DI50" s="2212"/>
      <c r="DJ50" s="2211">
        <f t="shared" si="48"/>
        <v>0</v>
      </c>
      <c r="DK50" s="2212"/>
      <c r="DL50" s="2212"/>
      <c r="DM50" s="2211"/>
      <c r="DN50" s="2211">
        <f t="shared" si="49"/>
        <v>0</v>
      </c>
      <c r="DO50" s="2212"/>
      <c r="DP50" s="2212"/>
      <c r="DQ50" s="2212"/>
      <c r="DR50" s="2211"/>
      <c r="DS50" s="2211"/>
      <c r="DT50" s="2211"/>
      <c r="DU50" s="2211"/>
      <c r="DV50" s="2211"/>
      <c r="DW50" s="2211"/>
      <c r="DX50" s="2211"/>
      <c r="DY50" s="2211"/>
      <c r="DZ50" s="2212"/>
      <c r="EA50" s="2212"/>
      <c r="EB50" s="2211"/>
      <c r="EC50" s="2211"/>
      <c r="ED50" s="2215"/>
      <c r="EE50" s="2206">
        <f t="shared" si="78"/>
        <v>1980000</v>
      </c>
      <c r="EF50" s="2165">
        <f t="shared" si="77"/>
        <v>0</v>
      </c>
      <c r="EG50" s="2166"/>
      <c r="EH50" s="2209">
        <f t="shared" si="54"/>
        <v>1980000</v>
      </c>
      <c r="EI50" s="2166">
        <f t="shared" si="7"/>
        <v>0</v>
      </c>
      <c r="EJ50" s="2209">
        <f>+V50+AK50+AN50++AQ50+AW50+AZ50+BI50+BO50+BR50+BU50+BX50+CA50+CE50+CI50+CL50+CP50+DB50+DF50+DI50+DL50+DQ50</f>
        <v>0</v>
      </c>
      <c r="EL50" s="2208"/>
    </row>
    <row r="51" spans="1:142" ht="13.5" customHeight="1" outlineLevel="1">
      <c r="A51" s="2225">
        <v>5222</v>
      </c>
      <c r="B51" s="2198" t="s">
        <v>101</v>
      </c>
      <c r="C51" s="2209">
        <v>1200000</v>
      </c>
      <c r="D51" s="2209">
        <v>1200000</v>
      </c>
      <c r="E51" s="2209">
        <v>1200000</v>
      </c>
      <c r="F51" s="2209">
        <v>1200000</v>
      </c>
      <c r="G51" s="2209">
        <v>1200000</v>
      </c>
      <c r="H51" s="2209">
        <v>1200000</v>
      </c>
      <c r="I51" s="2209">
        <v>1200000</v>
      </c>
      <c r="J51" s="2209">
        <v>1200000</v>
      </c>
      <c r="K51" s="2209">
        <f t="shared" si="51"/>
        <v>1200000</v>
      </c>
      <c r="L51" s="2210"/>
      <c r="M51" s="2211"/>
      <c r="N51" s="2211"/>
      <c r="O51" s="2211"/>
      <c r="P51" s="2211"/>
      <c r="Q51" s="2211"/>
      <c r="R51" s="2211"/>
      <c r="S51" s="2211"/>
      <c r="T51" s="2211">
        <f t="shared" si="26"/>
        <v>0</v>
      </c>
      <c r="U51" s="2212"/>
      <c r="V51" s="2213"/>
      <c r="W51" s="2211"/>
      <c r="X51" s="2227">
        <f t="shared" si="56"/>
        <v>0</v>
      </c>
      <c r="Y51" s="2211"/>
      <c r="Z51" s="2211"/>
      <c r="AA51" s="2211"/>
      <c r="AB51" s="2211"/>
      <c r="AC51" s="2211"/>
      <c r="AD51" s="2211"/>
      <c r="AE51" s="2211"/>
      <c r="AF51" s="2211"/>
      <c r="AG51" s="2211"/>
      <c r="AH51" s="2211"/>
      <c r="AI51" s="2211">
        <f t="shared" si="27"/>
        <v>0</v>
      </c>
      <c r="AJ51" s="2212"/>
      <c r="AK51" s="2212"/>
      <c r="AL51" s="2211">
        <f t="shared" si="28"/>
        <v>0</v>
      </c>
      <c r="AM51" s="2212"/>
      <c r="AN51" s="2212"/>
      <c r="AO51" s="2211">
        <f t="shared" si="29"/>
        <v>0</v>
      </c>
      <c r="AP51" s="2212"/>
      <c r="AQ51" s="2212"/>
      <c r="AR51" s="2211"/>
      <c r="AS51" s="2211"/>
      <c r="AT51" s="2211"/>
      <c r="AU51" s="2211">
        <f t="shared" si="30"/>
        <v>0</v>
      </c>
      <c r="AV51" s="2212"/>
      <c r="AW51" s="2212"/>
      <c r="AX51" s="2211">
        <f t="shared" si="31"/>
        <v>0</v>
      </c>
      <c r="AY51" s="2212">
        <f>+[7]Koupaliště!$B$11</f>
        <v>0</v>
      </c>
      <c r="AZ51" s="2212"/>
      <c r="BA51" s="2211">
        <f t="shared" si="79"/>
        <v>0</v>
      </c>
      <c r="BB51" s="2212">
        <f>+[7]Hřiště!$B$11</f>
        <v>0</v>
      </c>
      <c r="BC51" s="2212"/>
      <c r="BD51" s="2211">
        <f t="shared" si="80"/>
        <v>1200000</v>
      </c>
      <c r="BE51" s="2212">
        <f>+[7]Spolky!$B$11</f>
        <v>1200000</v>
      </c>
      <c r="BF51" s="2212">
        <v>0</v>
      </c>
      <c r="BG51" s="2211">
        <f t="shared" si="34"/>
        <v>0</v>
      </c>
      <c r="BH51" s="2212"/>
      <c r="BI51" s="2212"/>
      <c r="BJ51" s="2211">
        <f t="shared" si="81"/>
        <v>0</v>
      </c>
      <c r="BK51" s="2212"/>
      <c r="BL51" s="2212"/>
      <c r="BM51" s="2211">
        <f t="shared" si="36"/>
        <v>0</v>
      </c>
      <c r="BN51" s="2212"/>
      <c r="BO51" s="2212"/>
      <c r="BP51" s="2211">
        <f t="shared" si="37"/>
        <v>0</v>
      </c>
      <c r="BQ51" s="2212"/>
      <c r="BR51" s="2212"/>
      <c r="BS51" s="2211">
        <f t="shared" si="38"/>
        <v>0</v>
      </c>
      <c r="BT51" s="2212"/>
      <c r="BU51" s="2212"/>
      <c r="BV51" s="2211">
        <f t="shared" si="39"/>
        <v>0</v>
      </c>
      <c r="BW51" s="2212"/>
      <c r="BX51" s="2212"/>
      <c r="BY51" s="2211">
        <f t="shared" si="40"/>
        <v>0</v>
      </c>
      <c r="BZ51" s="2212"/>
      <c r="CA51" s="2212"/>
      <c r="CB51" s="2211"/>
      <c r="CC51" s="2211">
        <f t="shared" si="41"/>
        <v>0</v>
      </c>
      <c r="CD51" s="2212"/>
      <c r="CE51" s="2212"/>
      <c r="CF51" s="2211"/>
      <c r="CG51" s="2211">
        <f t="shared" si="42"/>
        <v>0</v>
      </c>
      <c r="CH51" s="2212"/>
      <c r="CI51" s="2212"/>
      <c r="CJ51" s="2211">
        <f t="shared" si="43"/>
        <v>0</v>
      </c>
      <c r="CK51" s="2212"/>
      <c r="CL51" s="2212"/>
      <c r="CM51" s="2211"/>
      <c r="CN51" s="2211">
        <f t="shared" si="44"/>
        <v>0</v>
      </c>
      <c r="CO51" s="2212"/>
      <c r="CP51" s="2212"/>
      <c r="CQ51" s="2211"/>
      <c r="CR51" s="2212"/>
      <c r="CS51" s="2212"/>
      <c r="CT51" s="2211"/>
      <c r="CU51" s="2212"/>
      <c r="CV51" s="2212"/>
      <c r="CW51" s="2211"/>
      <c r="CX51" s="2212"/>
      <c r="CY51" s="2212"/>
      <c r="CZ51" s="2211">
        <f t="shared" si="45"/>
        <v>0</v>
      </c>
      <c r="DA51" s="2212"/>
      <c r="DB51" s="2212"/>
      <c r="DC51" s="2211"/>
      <c r="DD51" s="2211">
        <f t="shared" si="46"/>
        <v>0</v>
      </c>
      <c r="DE51" s="2212"/>
      <c r="DF51" s="2212"/>
      <c r="DG51" s="2211">
        <f t="shared" si="47"/>
        <v>0</v>
      </c>
      <c r="DH51" s="2212"/>
      <c r="DI51" s="2212"/>
      <c r="DJ51" s="2211">
        <f t="shared" si="48"/>
        <v>0</v>
      </c>
      <c r="DK51" s="2212"/>
      <c r="DL51" s="2212"/>
      <c r="DM51" s="2211"/>
      <c r="DN51" s="2211">
        <f t="shared" si="49"/>
        <v>0</v>
      </c>
      <c r="DO51" s="2212"/>
      <c r="DP51" s="2212"/>
      <c r="DQ51" s="2212"/>
      <c r="DR51" s="2211"/>
      <c r="DS51" s="2211"/>
      <c r="DT51" s="2211"/>
      <c r="DU51" s="2211"/>
      <c r="DV51" s="2211"/>
      <c r="DW51" s="2211"/>
      <c r="DX51" s="2211"/>
      <c r="DY51" s="2211"/>
      <c r="DZ51" s="2212"/>
      <c r="EA51" s="2212"/>
      <c r="EB51" s="2211"/>
      <c r="EC51" s="2211"/>
      <c r="ED51" s="2215"/>
      <c r="EE51" s="2206">
        <f t="shared" si="78"/>
        <v>1200000</v>
      </c>
      <c r="EF51" s="2165">
        <f t="shared" si="77"/>
        <v>0</v>
      </c>
      <c r="EG51" s="2166"/>
      <c r="EH51" s="2209">
        <f t="shared" si="54"/>
        <v>1200000</v>
      </c>
      <c r="EI51" s="2166">
        <f t="shared" si="7"/>
        <v>0</v>
      </c>
      <c r="EJ51" s="2209">
        <f>+V51+AK51+AN51++AQ51+AW51+AZ51+BI51+BO51+BR51+BU51+BX51+CA51+CE51+CI51+CL51+CP51+DB51+DF51+DI51+DL51+DQ51</f>
        <v>0</v>
      </c>
      <c r="EL51" s="2208"/>
    </row>
    <row r="52" spans="1:142" ht="12.75" customHeight="1" outlineLevel="1">
      <c r="A52" s="2238">
        <v>5903</v>
      </c>
      <c r="B52" s="2239" t="s">
        <v>761</v>
      </c>
      <c r="C52" s="2240">
        <v>69012.591499999995</v>
      </c>
      <c r="D52" s="2240">
        <v>74053.766499999998</v>
      </c>
      <c r="E52" s="2240">
        <v>74053.766499999998</v>
      </c>
      <c r="F52" s="2240">
        <v>74053.766499999998</v>
      </c>
      <c r="G52" s="2240">
        <v>74053.766499999998</v>
      </c>
      <c r="H52" s="2240">
        <v>74053.766499999998</v>
      </c>
      <c r="I52" s="2240">
        <v>74053.766499999998</v>
      </c>
      <c r="J52" s="2240">
        <v>74053.766499999998</v>
      </c>
      <c r="K52" s="2209">
        <f t="shared" si="51"/>
        <v>74054</v>
      </c>
      <c r="L52" s="2241"/>
      <c r="M52" s="2242"/>
      <c r="N52" s="2242">
        <f>+'[7]Krizové situace-5213'!$B$4</f>
        <v>74054</v>
      </c>
      <c r="O52" s="2242"/>
      <c r="P52" s="2242"/>
      <c r="Q52" s="2242"/>
      <c r="R52" s="2242"/>
      <c r="S52" s="2242"/>
      <c r="T52" s="2242">
        <f t="shared" si="26"/>
        <v>0</v>
      </c>
      <c r="U52" s="2243"/>
      <c r="V52" s="2244"/>
      <c r="W52" s="2242"/>
      <c r="X52" s="2245">
        <f>+V52+AW52+CL52+CI52+CE52+DQ52+AK52+AQ52+AZ52+BI52+BO52+BR52+BU52+BX52+CA52+CP52+DB52+DF52+DI52+DL52+AN52+EA52</f>
        <v>0</v>
      </c>
      <c r="Y52" s="2242"/>
      <c r="Z52" s="2242"/>
      <c r="AA52" s="2242"/>
      <c r="AB52" s="2242"/>
      <c r="AC52" s="2242"/>
      <c r="AD52" s="2242"/>
      <c r="AE52" s="2242"/>
      <c r="AF52" s="2242"/>
      <c r="AG52" s="2242"/>
      <c r="AH52" s="2242"/>
      <c r="AI52" s="2242"/>
      <c r="AJ52" s="2243"/>
      <c r="AK52" s="2243"/>
      <c r="AL52" s="2242"/>
      <c r="AM52" s="2243"/>
      <c r="AN52" s="2243"/>
      <c r="AO52" s="2242"/>
      <c r="AP52" s="2243"/>
      <c r="AQ52" s="2243"/>
      <c r="AR52" s="2242"/>
      <c r="AS52" s="2242"/>
      <c r="AT52" s="2242"/>
      <c r="AU52" s="2242"/>
      <c r="AV52" s="2243"/>
      <c r="AW52" s="2243"/>
      <c r="AX52" s="2242"/>
      <c r="AY52" s="2243"/>
      <c r="AZ52" s="2243"/>
      <c r="BA52" s="2242"/>
      <c r="BB52" s="2243"/>
      <c r="BC52" s="2243"/>
      <c r="BD52" s="2242"/>
      <c r="BE52" s="2243"/>
      <c r="BF52" s="2243"/>
      <c r="BG52" s="2242"/>
      <c r="BH52" s="2243"/>
      <c r="BI52" s="2243"/>
      <c r="BJ52" s="2242"/>
      <c r="BK52" s="2243"/>
      <c r="BL52" s="2243"/>
      <c r="BM52" s="2242"/>
      <c r="BN52" s="2243"/>
      <c r="BO52" s="2243"/>
      <c r="BP52" s="2242"/>
      <c r="BQ52" s="2243"/>
      <c r="BR52" s="2243"/>
      <c r="BS52" s="2242"/>
      <c r="BT52" s="2243"/>
      <c r="BU52" s="2243"/>
      <c r="BV52" s="2242"/>
      <c r="BW52" s="2243"/>
      <c r="BX52" s="2243"/>
      <c r="BY52" s="2242"/>
      <c r="BZ52" s="2243"/>
      <c r="CA52" s="2243"/>
      <c r="CB52" s="2242"/>
      <c r="CC52" s="2242"/>
      <c r="CD52" s="2243"/>
      <c r="CE52" s="2243"/>
      <c r="CF52" s="2242"/>
      <c r="CG52" s="2242"/>
      <c r="CH52" s="2243"/>
      <c r="CI52" s="2243"/>
      <c r="CJ52" s="2242"/>
      <c r="CK52" s="2243"/>
      <c r="CL52" s="2243"/>
      <c r="CM52" s="2242"/>
      <c r="CN52" s="2242"/>
      <c r="CO52" s="2243"/>
      <c r="CP52" s="2243"/>
      <c r="CQ52" s="2242"/>
      <c r="CR52" s="2243"/>
      <c r="CS52" s="2243"/>
      <c r="CT52" s="2242"/>
      <c r="CU52" s="2243"/>
      <c r="CV52" s="2243"/>
      <c r="CW52" s="2242"/>
      <c r="CX52" s="2243"/>
      <c r="CY52" s="2243"/>
      <c r="CZ52" s="2242"/>
      <c r="DA52" s="2243"/>
      <c r="DB52" s="2243"/>
      <c r="DC52" s="2242"/>
      <c r="DD52" s="2242"/>
      <c r="DE52" s="2243"/>
      <c r="DF52" s="2243"/>
      <c r="DG52" s="2242"/>
      <c r="DH52" s="2243"/>
      <c r="DI52" s="2243"/>
      <c r="DJ52" s="2242"/>
      <c r="DK52" s="2243"/>
      <c r="DL52" s="2243"/>
      <c r="DM52" s="2242"/>
      <c r="DN52" s="2242"/>
      <c r="DO52" s="2243"/>
      <c r="DP52" s="2243"/>
      <c r="DQ52" s="2243"/>
      <c r="DR52" s="2242"/>
      <c r="DS52" s="2242"/>
      <c r="DT52" s="2242"/>
      <c r="DU52" s="2242"/>
      <c r="DV52" s="2242"/>
      <c r="DW52" s="2242"/>
      <c r="DX52" s="2242"/>
      <c r="DY52" s="2242"/>
      <c r="DZ52" s="2243"/>
      <c r="EA52" s="2243"/>
      <c r="EB52" s="2242"/>
      <c r="EC52" s="2242"/>
      <c r="ED52" s="2246"/>
      <c r="EE52" s="2206">
        <f t="shared" si="78"/>
        <v>74054</v>
      </c>
      <c r="EF52" s="2165"/>
      <c r="EG52" s="2166"/>
      <c r="EH52" s="2240">
        <f t="shared" si="54"/>
        <v>74054</v>
      </c>
      <c r="EI52" s="2166">
        <f t="shared" si="7"/>
        <v>0</v>
      </c>
      <c r="EJ52" s="2240"/>
      <c r="EL52" s="2208"/>
    </row>
    <row r="53" spans="1:142" ht="12.75" customHeight="1" outlineLevel="1">
      <c r="A53" s="3117">
        <v>5909</v>
      </c>
      <c r="B53" s="3118" t="s">
        <v>2955</v>
      </c>
      <c r="C53" s="2240"/>
      <c r="D53" s="2240"/>
      <c r="E53" s="2240"/>
      <c r="F53" s="2240"/>
      <c r="G53" s="2240"/>
      <c r="H53" s="2240"/>
      <c r="I53" s="2240"/>
      <c r="J53" s="2240"/>
      <c r="K53" s="2209">
        <f t="shared" si="51"/>
        <v>1011000</v>
      </c>
      <c r="L53" s="2241"/>
      <c r="M53" s="2242"/>
      <c r="N53" s="2242"/>
      <c r="O53" s="2242"/>
      <c r="P53" s="2242">
        <f>+'[7]Všebecná pokladna'!$B$114</f>
        <v>1011000</v>
      </c>
      <c r="Q53" s="2242"/>
      <c r="R53" s="2242"/>
      <c r="S53" s="2242"/>
      <c r="T53" s="2242"/>
      <c r="U53" s="2243"/>
      <c r="V53" s="2244"/>
      <c r="W53" s="2242"/>
      <c r="X53" s="2245"/>
      <c r="Y53" s="2242"/>
      <c r="Z53" s="2242"/>
      <c r="AA53" s="2242"/>
      <c r="AB53" s="2242"/>
      <c r="AC53" s="2242"/>
      <c r="AD53" s="2242"/>
      <c r="AE53" s="2242"/>
      <c r="AF53" s="2242"/>
      <c r="AG53" s="2242"/>
      <c r="AH53" s="2242"/>
      <c r="AI53" s="2242"/>
      <c r="AJ53" s="2243"/>
      <c r="AK53" s="2243"/>
      <c r="AL53" s="2242"/>
      <c r="AM53" s="2243"/>
      <c r="AN53" s="2243"/>
      <c r="AO53" s="2242"/>
      <c r="AP53" s="2243"/>
      <c r="AQ53" s="2243"/>
      <c r="AR53" s="2242"/>
      <c r="AS53" s="2242"/>
      <c r="AT53" s="2242"/>
      <c r="AU53" s="2242"/>
      <c r="AV53" s="2243"/>
      <c r="AW53" s="2243"/>
      <c r="AX53" s="2242"/>
      <c r="AY53" s="2243"/>
      <c r="AZ53" s="2243"/>
      <c r="BA53" s="2242"/>
      <c r="BB53" s="2243"/>
      <c r="BC53" s="2243"/>
      <c r="BD53" s="2242"/>
      <c r="BE53" s="2243"/>
      <c r="BF53" s="2243"/>
      <c r="BG53" s="2242"/>
      <c r="BH53" s="2243"/>
      <c r="BI53" s="2243"/>
      <c r="BJ53" s="2242"/>
      <c r="BK53" s="2243"/>
      <c r="BL53" s="2243"/>
      <c r="BM53" s="2242"/>
      <c r="BN53" s="2243"/>
      <c r="BO53" s="2243"/>
      <c r="BP53" s="2242"/>
      <c r="BQ53" s="2243"/>
      <c r="BR53" s="2243"/>
      <c r="BS53" s="2242"/>
      <c r="BT53" s="2243"/>
      <c r="BU53" s="2243"/>
      <c r="BV53" s="2242"/>
      <c r="BW53" s="2243"/>
      <c r="BX53" s="2243"/>
      <c r="BY53" s="2242"/>
      <c r="BZ53" s="2243"/>
      <c r="CA53" s="2243"/>
      <c r="CB53" s="2242"/>
      <c r="CC53" s="2242"/>
      <c r="CD53" s="2243"/>
      <c r="CE53" s="2243"/>
      <c r="CF53" s="2242"/>
      <c r="CG53" s="2242"/>
      <c r="CH53" s="2243"/>
      <c r="CI53" s="2243"/>
      <c r="CJ53" s="2242"/>
      <c r="CK53" s="2243"/>
      <c r="CL53" s="2243"/>
      <c r="CM53" s="2242"/>
      <c r="CN53" s="2242"/>
      <c r="CO53" s="2243"/>
      <c r="CP53" s="2243"/>
      <c r="CQ53" s="2242"/>
      <c r="CR53" s="2243"/>
      <c r="CS53" s="2243"/>
      <c r="CT53" s="2242"/>
      <c r="CU53" s="2243"/>
      <c r="CV53" s="2243"/>
      <c r="CW53" s="2242"/>
      <c r="CX53" s="2243"/>
      <c r="CY53" s="2243"/>
      <c r="CZ53" s="2242"/>
      <c r="DA53" s="2243"/>
      <c r="DB53" s="2243"/>
      <c r="DC53" s="2242"/>
      <c r="DD53" s="2242"/>
      <c r="DE53" s="2243"/>
      <c r="DF53" s="2243"/>
      <c r="DG53" s="2242"/>
      <c r="DH53" s="2243"/>
      <c r="DI53" s="2243"/>
      <c r="DJ53" s="2242"/>
      <c r="DK53" s="2243"/>
      <c r="DL53" s="2243"/>
      <c r="DM53" s="2242"/>
      <c r="DN53" s="2242"/>
      <c r="DO53" s="2243"/>
      <c r="DP53" s="2243"/>
      <c r="DQ53" s="2243"/>
      <c r="DR53" s="2242"/>
      <c r="DS53" s="2242"/>
      <c r="DT53" s="2242"/>
      <c r="DU53" s="2242"/>
      <c r="DV53" s="2242"/>
      <c r="DW53" s="2242"/>
      <c r="DX53" s="2242"/>
      <c r="DY53" s="2242"/>
      <c r="DZ53" s="2243"/>
      <c r="EA53" s="2243"/>
      <c r="EB53" s="2242"/>
      <c r="EC53" s="2242"/>
      <c r="ED53" s="2246"/>
      <c r="EE53" s="2206"/>
      <c r="EF53" s="2165"/>
      <c r="EG53" s="2166"/>
      <c r="EH53" s="2240"/>
      <c r="EI53" s="2166"/>
      <c r="EJ53" s="2240"/>
      <c r="EL53" s="2208"/>
    </row>
    <row r="54" spans="1:142" ht="15" thickBot="1">
      <c r="A54" s="2216" t="s">
        <v>102</v>
      </c>
      <c r="B54" s="2217"/>
      <c r="C54" s="2218">
        <v>110279134.5915</v>
      </c>
      <c r="D54" s="2218">
        <v>158188775.7665</v>
      </c>
      <c r="E54" s="2218">
        <v>163277327.7665</v>
      </c>
      <c r="F54" s="2218">
        <v>166446737.7665</v>
      </c>
      <c r="G54" s="2218">
        <v>166446737.7665</v>
      </c>
      <c r="H54" s="2218">
        <v>176697037.7665</v>
      </c>
      <c r="I54" s="2218">
        <v>187526537.7665</v>
      </c>
      <c r="J54" s="2218">
        <v>171520568.7665</v>
      </c>
      <c r="K54" s="2218">
        <f>SUM(K17:K53)</f>
        <v>141592819</v>
      </c>
      <c r="L54" s="2219">
        <f t="shared" ref="L54:BW54" si="82">SUM(L17:L53)</f>
        <v>115000</v>
      </c>
      <c r="M54" s="2220">
        <f t="shared" si="82"/>
        <v>0</v>
      </c>
      <c r="N54" s="2220">
        <f t="shared" si="82"/>
        <v>74054</v>
      </c>
      <c r="O54" s="2220">
        <f t="shared" si="82"/>
        <v>0</v>
      </c>
      <c r="P54" s="2220">
        <f t="shared" si="82"/>
        <v>10808400</v>
      </c>
      <c r="Q54" s="2220">
        <f t="shared" si="82"/>
        <v>0</v>
      </c>
      <c r="R54" s="2220">
        <f t="shared" si="82"/>
        <v>976000</v>
      </c>
      <c r="S54" s="2220">
        <f t="shared" si="82"/>
        <v>17434</v>
      </c>
      <c r="T54" s="2220">
        <f t="shared" si="82"/>
        <v>10031000</v>
      </c>
      <c r="U54" s="2221">
        <f t="shared" si="82"/>
        <v>9961000</v>
      </c>
      <c r="V54" s="2222">
        <f t="shared" si="82"/>
        <v>70000</v>
      </c>
      <c r="W54" s="2220">
        <f t="shared" si="82"/>
        <v>0</v>
      </c>
      <c r="X54" s="2223">
        <f t="shared" si="82"/>
        <v>44530000</v>
      </c>
      <c r="Y54" s="2220">
        <f t="shared" si="82"/>
        <v>487200</v>
      </c>
      <c r="Z54" s="2220">
        <f t="shared" si="82"/>
        <v>560000</v>
      </c>
      <c r="AA54" s="2220">
        <f t="shared" si="82"/>
        <v>300000</v>
      </c>
      <c r="AB54" s="2220">
        <f t="shared" si="82"/>
        <v>1513500</v>
      </c>
      <c r="AC54" s="2220">
        <f t="shared" si="82"/>
        <v>9000</v>
      </c>
      <c r="AD54" s="2220">
        <f t="shared" si="82"/>
        <v>226240</v>
      </c>
      <c r="AE54" s="2220">
        <f t="shared" si="82"/>
        <v>3000</v>
      </c>
      <c r="AF54" s="2220">
        <f t="shared" si="82"/>
        <v>1028000</v>
      </c>
      <c r="AG54" s="2220">
        <f t="shared" si="82"/>
        <v>530000</v>
      </c>
      <c r="AH54" s="2220">
        <f t="shared" si="82"/>
        <v>1362100</v>
      </c>
      <c r="AI54" s="2220">
        <f t="shared" si="82"/>
        <v>4492000</v>
      </c>
      <c r="AJ54" s="2221">
        <f t="shared" si="82"/>
        <v>4462000</v>
      </c>
      <c r="AK54" s="2221">
        <f t="shared" si="82"/>
        <v>30000</v>
      </c>
      <c r="AL54" s="2220">
        <f t="shared" si="82"/>
        <v>3071000</v>
      </c>
      <c r="AM54" s="2221">
        <f t="shared" si="82"/>
        <v>2971000</v>
      </c>
      <c r="AN54" s="2221">
        <f t="shared" si="82"/>
        <v>100000</v>
      </c>
      <c r="AO54" s="2220">
        <f t="shared" si="82"/>
        <v>999760</v>
      </c>
      <c r="AP54" s="2221">
        <f t="shared" si="82"/>
        <v>909760</v>
      </c>
      <c r="AQ54" s="2221">
        <f t="shared" si="82"/>
        <v>90000</v>
      </c>
      <c r="AR54" s="2220">
        <f t="shared" si="82"/>
        <v>928000</v>
      </c>
      <c r="AS54" s="2220">
        <f t="shared" si="82"/>
        <v>17000</v>
      </c>
      <c r="AT54" s="2220">
        <f t="shared" si="82"/>
        <v>0</v>
      </c>
      <c r="AU54" s="2220">
        <f t="shared" si="82"/>
        <v>76000</v>
      </c>
      <c r="AV54" s="2221">
        <f t="shared" si="82"/>
        <v>56000</v>
      </c>
      <c r="AW54" s="2221">
        <f t="shared" si="82"/>
        <v>20000</v>
      </c>
      <c r="AX54" s="2220">
        <f t="shared" si="82"/>
        <v>360000</v>
      </c>
      <c r="AY54" s="2221">
        <f t="shared" si="82"/>
        <v>360000</v>
      </c>
      <c r="AZ54" s="2221">
        <f t="shared" si="82"/>
        <v>0</v>
      </c>
      <c r="BA54" s="2220">
        <f t="shared" si="82"/>
        <v>730000</v>
      </c>
      <c r="BB54" s="2221">
        <f t="shared" si="82"/>
        <v>460000</v>
      </c>
      <c r="BC54" s="2221">
        <f t="shared" si="82"/>
        <v>270000</v>
      </c>
      <c r="BD54" s="2220">
        <f t="shared" si="82"/>
        <v>1750000</v>
      </c>
      <c r="BE54" s="2221">
        <f t="shared" si="82"/>
        <v>1750000</v>
      </c>
      <c r="BF54" s="2221">
        <f t="shared" si="82"/>
        <v>0</v>
      </c>
      <c r="BG54" s="2220">
        <f t="shared" si="82"/>
        <v>23654500</v>
      </c>
      <c r="BH54" s="2221">
        <f t="shared" si="82"/>
        <v>23654500</v>
      </c>
      <c r="BI54" s="2221">
        <f t="shared" si="82"/>
        <v>0</v>
      </c>
      <c r="BJ54" s="2220">
        <f t="shared" si="82"/>
        <v>1062000</v>
      </c>
      <c r="BK54" s="2221">
        <f t="shared" si="82"/>
        <v>1062000</v>
      </c>
      <c r="BL54" s="2221">
        <f t="shared" si="82"/>
        <v>0</v>
      </c>
      <c r="BM54" s="2220">
        <f t="shared" si="82"/>
        <v>426000</v>
      </c>
      <c r="BN54" s="2221">
        <f t="shared" si="82"/>
        <v>426000</v>
      </c>
      <c r="BO54" s="2221">
        <f t="shared" si="82"/>
        <v>0</v>
      </c>
      <c r="BP54" s="2220">
        <f t="shared" si="82"/>
        <v>1561400</v>
      </c>
      <c r="BQ54" s="2221">
        <f t="shared" si="82"/>
        <v>1531400</v>
      </c>
      <c r="BR54" s="2221">
        <f t="shared" si="82"/>
        <v>30000</v>
      </c>
      <c r="BS54" s="2220">
        <f t="shared" si="82"/>
        <v>970000</v>
      </c>
      <c r="BT54" s="2221">
        <f t="shared" si="82"/>
        <v>930000</v>
      </c>
      <c r="BU54" s="2221">
        <f t="shared" si="82"/>
        <v>40000</v>
      </c>
      <c r="BV54" s="2220">
        <f t="shared" si="82"/>
        <v>5696731</v>
      </c>
      <c r="BW54" s="2221">
        <f t="shared" si="82"/>
        <v>5656731</v>
      </c>
      <c r="BX54" s="2221">
        <f t="shared" ref="BX54:ED54" si="83">SUM(BX17:BX53)</f>
        <v>40000</v>
      </c>
      <c r="BY54" s="2220">
        <f t="shared" si="83"/>
        <v>1160000</v>
      </c>
      <c r="BZ54" s="2221">
        <f t="shared" si="83"/>
        <v>1160000</v>
      </c>
      <c r="CA54" s="2221">
        <f t="shared" si="83"/>
        <v>0</v>
      </c>
      <c r="CB54" s="2220">
        <f t="shared" si="83"/>
        <v>250000</v>
      </c>
      <c r="CC54" s="2220">
        <f t="shared" si="83"/>
        <v>300000</v>
      </c>
      <c r="CD54" s="2221">
        <f t="shared" si="83"/>
        <v>260000</v>
      </c>
      <c r="CE54" s="2221">
        <f t="shared" si="83"/>
        <v>40000</v>
      </c>
      <c r="CF54" s="2220">
        <f t="shared" si="83"/>
        <v>180000</v>
      </c>
      <c r="CG54" s="2220">
        <f t="shared" si="83"/>
        <v>2210000</v>
      </c>
      <c r="CH54" s="2221">
        <f t="shared" si="83"/>
        <v>1860000</v>
      </c>
      <c r="CI54" s="2221">
        <f t="shared" si="83"/>
        <v>350000</v>
      </c>
      <c r="CJ54" s="2220">
        <f t="shared" si="83"/>
        <v>11777000</v>
      </c>
      <c r="CK54" s="2221">
        <f t="shared" si="83"/>
        <v>8927000</v>
      </c>
      <c r="CL54" s="2221">
        <f t="shared" si="83"/>
        <v>2850000</v>
      </c>
      <c r="CM54" s="2220">
        <f t="shared" si="83"/>
        <v>3840000</v>
      </c>
      <c r="CN54" s="2220">
        <f t="shared" si="83"/>
        <v>493000</v>
      </c>
      <c r="CO54" s="2221">
        <f t="shared" si="83"/>
        <v>493000</v>
      </c>
      <c r="CP54" s="2221">
        <f t="shared" si="83"/>
        <v>0</v>
      </c>
      <c r="CQ54" s="2220">
        <f t="shared" si="83"/>
        <v>3700000</v>
      </c>
      <c r="CR54" s="2221">
        <f t="shared" si="83"/>
        <v>3700000</v>
      </c>
      <c r="CS54" s="2221">
        <f t="shared" si="83"/>
        <v>0</v>
      </c>
      <c r="CT54" s="2220">
        <f t="shared" si="83"/>
        <v>361000</v>
      </c>
      <c r="CU54" s="2221">
        <f t="shared" si="83"/>
        <v>361000</v>
      </c>
      <c r="CV54" s="2221">
        <f t="shared" si="83"/>
        <v>0</v>
      </c>
      <c r="CW54" s="2220">
        <f t="shared" si="83"/>
        <v>260000</v>
      </c>
      <c r="CX54" s="2221">
        <f t="shared" si="83"/>
        <v>260000</v>
      </c>
      <c r="CY54" s="2221">
        <f t="shared" si="83"/>
        <v>0</v>
      </c>
      <c r="CZ54" s="2220">
        <f t="shared" si="83"/>
        <v>1180000</v>
      </c>
      <c r="DA54" s="2221">
        <f t="shared" si="83"/>
        <v>880000</v>
      </c>
      <c r="DB54" s="2221">
        <f t="shared" si="83"/>
        <v>300000</v>
      </c>
      <c r="DC54" s="2220">
        <f t="shared" si="83"/>
        <v>100000</v>
      </c>
      <c r="DD54" s="2220">
        <f t="shared" si="83"/>
        <v>7050000</v>
      </c>
      <c r="DE54" s="2221">
        <f t="shared" si="83"/>
        <v>0</v>
      </c>
      <c r="DF54" s="2221">
        <f t="shared" si="83"/>
        <v>7050000</v>
      </c>
      <c r="DG54" s="2220">
        <f t="shared" si="83"/>
        <v>0</v>
      </c>
      <c r="DH54" s="2221">
        <f t="shared" si="83"/>
        <v>0</v>
      </c>
      <c r="DI54" s="2221">
        <f t="shared" si="83"/>
        <v>0</v>
      </c>
      <c r="DJ54" s="2220">
        <f t="shared" si="83"/>
        <v>100000</v>
      </c>
      <c r="DK54" s="2221">
        <f t="shared" si="83"/>
        <v>0</v>
      </c>
      <c r="DL54" s="2221">
        <f t="shared" si="83"/>
        <v>100000</v>
      </c>
      <c r="DM54" s="2220">
        <f t="shared" si="83"/>
        <v>139000</v>
      </c>
      <c r="DN54" s="2220">
        <f t="shared" si="83"/>
        <v>3401000</v>
      </c>
      <c r="DO54" s="2221">
        <f t="shared" si="83"/>
        <v>1151000</v>
      </c>
      <c r="DP54" s="2221">
        <f t="shared" si="83"/>
        <v>0</v>
      </c>
      <c r="DQ54" s="2221">
        <f t="shared" si="83"/>
        <v>2250000</v>
      </c>
      <c r="DR54" s="2220">
        <f t="shared" si="83"/>
        <v>356500</v>
      </c>
      <c r="DS54" s="2220">
        <f t="shared" si="83"/>
        <v>0</v>
      </c>
      <c r="DT54" s="2220">
        <f t="shared" si="83"/>
        <v>0</v>
      </c>
      <c r="DU54" s="2220">
        <f t="shared" si="83"/>
        <v>0</v>
      </c>
      <c r="DV54" s="2220">
        <f t="shared" si="83"/>
        <v>0</v>
      </c>
      <c r="DW54" s="2220">
        <f t="shared" si="83"/>
        <v>0</v>
      </c>
      <c r="DX54" s="2220">
        <f t="shared" si="83"/>
        <v>0</v>
      </c>
      <c r="DY54" s="2220">
        <f t="shared" si="83"/>
        <v>0</v>
      </c>
      <c r="DZ54" s="2221">
        <f t="shared" si="83"/>
        <v>0</v>
      </c>
      <c r="EA54" s="2221">
        <f t="shared" si="83"/>
        <v>0</v>
      </c>
      <c r="EB54" s="2220">
        <f t="shared" si="83"/>
        <v>0</v>
      </c>
      <c r="EC54" s="2220">
        <f t="shared" si="83"/>
        <v>0</v>
      </c>
      <c r="ED54" s="2224">
        <f t="shared" si="83"/>
        <v>0</v>
      </c>
      <c r="EE54" s="2206"/>
      <c r="EF54" s="2165"/>
      <c r="EG54" s="2166"/>
      <c r="EH54" s="2218">
        <f>SUM(EH17:EH51)</f>
        <v>95827465</v>
      </c>
      <c r="EI54" s="2166"/>
      <c r="EJ54" s="2218">
        <f>SUM(EJ17:EJ51)</f>
        <v>44530000</v>
      </c>
      <c r="EL54" s="2208"/>
    </row>
    <row r="55" spans="1:142" outlineLevel="1">
      <c r="A55" s="2225">
        <v>5141</v>
      </c>
      <c r="B55" s="2198" t="s">
        <v>7</v>
      </c>
      <c r="C55" s="2199">
        <v>2952545.0202600001</v>
      </c>
      <c r="D55" s="2199">
        <v>2327757.9317000001</v>
      </c>
      <c r="E55" s="2199">
        <v>2327757.9317000001</v>
      </c>
      <c r="F55" s="2199">
        <v>2327757.9317000001</v>
      </c>
      <c r="G55" s="2199">
        <v>2327757.9317000001</v>
      </c>
      <c r="H55" s="2199">
        <v>2327757.9317000001</v>
      </c>
      <c r="I55" s="2199">
        <v>2327757.9317000001</v>
      </c>
      <c r="J55" s="2199">
        <v>2465758.016443999</v>
      </c>
      <c r="K55" s="2199">
        <f t="shared" ref="K55:K57" si="84">SUM(L55:T55)+SUM(Y55:AI55)+AL55+AO55+SUM(AR55:AU55)+AX55+BG55+BM55+BP55+BS55+BV55+BY55+CB55+CC55+CF55+CG55+CJ55+SUM(CM55:CN55)+CW55+CZ55+DC55+DD55+DG55+DJ55+DM55+DN55+SUM(DR55:DY55)+CQ55+CT55+SUM(EB55:ED55)+W55+BA55+BD55+BJ55</f>
        <v>2586000.016443999</v>
      </c>
      <c r="L55" s="2247">
        <f>+[7]Úroky!$B$11</f>
        <v>2586000.016443999</v>
      </c>
      <c r="M55" s="2248"/>
      <c r="N55" s="2248"/>
      <c r="O55" s="2248"/>
      <c r="P55" s="2248"/>
      <c r="Q55" s="2248"/>
      <c r="R55" s="2248"/>
      <c r="S55" s="2248"/>
      <c r="T55" s="2248">
        <f t="shared" ref="T55:T57" si="85">+U55+V55</f>
        <v>0</v>
      </c>
      <c r="U55" s="2249"/>
      <c r="V55" s="2250"/>
      <c r="W55" s="2248"/>
      <c r="X55" s="2251">
        <f t="shared" ref="X55:X57" si="86">+V55+AW55+CL55+CI55+CE55+DQ55+AK55+AQ55+AZ55+BI55+BO55+BR55+BU55+BX55+CA55+CP55+DB55+DF55+DI55+DL55+AN55+EA55</f>
        <v>0</v>
      </c>
      <c r="Y55" s="2248"/>
      <c r="Z55" s="2248"/>
      <c r="AA55" s="2248"/>
      <c r="AB55" s="2248"/>
      <c r="AC55" s="2248"/>
      <c r="AD55" s="2248"/>
      <c r="AE55" s="2248"/>
      <c r="AF55" s="2248"/>
      <c r="AG55" s="2248"/>
      <c r="AH55" s="2248"/>
      <c r="AI55" s="2248">
        <f t="shared" ref="AI55:AI57" si="87">+AJ55+AK55</f>
        <v>0</v>
      </c>
      <c r="AJ55" s="2249"/>
      <c r="AK55" s="2249"/>
      <c r="AL55" s="2248">
        <f t="shared" ref="AL55:AL57" si="88">+AM55+AN55</f>
        <v>0</v>
      </c>
      <c r="AM55" s="2249"/>
      <c r="AN55" s="2249"/>
      <c r="AO55" s="2248">
        <f t="shared" ref="AO55:AO57" si="89">+AP55+AQ55</f>
        <v>0</v>
      </c>
      <c r="AP55" s="2249"/>
      <c r="AQ55" s="2249"/>
      <c r="AR55" s="2248"/>
      <c r="AS55" s="2248"/>
      <c r="AT55" s="2248"/>
      <c r="AU55" s="2248">
        <f t="shared" ref="AU55:AU57" si="90">+AV55+AW55</f>
        <v>0</v>
      </c>
      <c r="AV55" s="2249"/>
      <c r="AW55" s="2249"/>
      <c r="AX55" s="2248">
        <f t="shared" ref="AX55:AX57" si="91">+AY55+AZ55</f>
        <v>0</v>
      </c>
      <c r="AY55" s="2249"/>
      <c r="AZ55" s="2249"/>
      <c r="BA55" s="2248">
        <f t="shared" ref="BA55:BA57" si="92">+BB55+BC55</f>
        <v>0</v>
      </c>
      <c r="BB55" s="2249"/>
      <c r="BC55" s="2249"/>
      <c r="BD55" s="2248">
        <f t="shared" ref="BD55:BD57" si="93">+BE55+BF55</f>
        <v>0</v>
      </c>
      <c r="BE55" s="2249"/>
      <c r="BF55" s="2249"/>
      <c r="BG55" s="2248">
        <f t="shared" ref="BG55:BG57" si="94">+BH55+BI55</f>
        <v>0</v>
      </c>
      <c r="BH55" s="2249"/>
      <c r="BI55" s="2249"/>
      <c r="BJ55" s="2248">
        <f t="shared" ref="BJ55:BJ57" si="95">+BK55+BL55</f>
        <v>0</v>
      </c>
      <c r="BK55" s="2249"/>
      <c r="BL55" s="2249"/>
      <c r="BM55" s="2248">
        <f t="shared" ref="BM55:BM57" si="96">+BN55+BO55</f>
        <v>0</v>
      </c>
      <c r="BN55" s="2249"/>
      <c r="BO55" s="2249"/>
      <c r="BP55" s="2248">
        <f t="shared" ref="BP55:BP57" si="97">+BQ55+BR55</f>
        <v>0</v>
      </c>
      <c r="BQ55" s="2249"/>
      <c r="BR55" s="2249"/>
      <c r="BS55" s="2248">
        <f t="shared" ref="BS55:BS57" si="98">+BT55+BU55</f>
        <v>0</v>
      </c>
      <c r="BT55" s="2249"/>
      <c r="BU55" s="2249"/>
      <c r="BV55" s="2248">
        <f t="shared" ref="BV55:BV57" si="99">+BW55+BX55</f>
        <v>0</v>
      </c>
      <c r="BW55" s="2249"/>
      <c r="BX55" s="2249"/>
      <c r="BY55" s="2248">
        <f t="shared" ref="BY55:BY57" si="100">+BZ55+CA55</f>
        <v>0</v>
      </c>
      <c r="BZ55" s="2249"/>
      <c r="CA55" s="2249"/>
      <c r="CB55" s="2248"/>
      <c r="CC55" s="2248">
        <f t="shared" ref="CC55:CC57" si="101">+CD55+CE55</f>
        <v>0</v>
      </c>
      <c r="CD55" s="2249"/>
      <c r="CE55" s="2249"/>
      <c r="CF55" s="2248"/>
      <c r="CG55" s="2248">
        <f t="shared" ref="CG55:CG57" si="102">+CH55+CI55</f>
        <v>0</v>
      </c>
      <c r="CH55" s="2249"/>
      <c r="CI55" s="2249"/>
      <c r="CJ55" s="2248">
        <f t="shared" ref="CJ55:CJ57" si="103">+CK55+CL55</f>
        <v>0</v>
      </c>
      <c r="CK55" s="2249"/>
      <c r="CL55" s="2249"/>
      <c r="CM55" s="2248"/>
      <c r="CN55" s="2248">
        <f t="shared" ref="CN55:CN57" si="104">+CO55+CP55</f>
        <v>0</v>
      </c>
      <c r="CO55" s="2249"/>
      <c r="CP55" s="2249"/>
      <c r="CQ55" s="2248"/>
      <c r="CR55" s="2249"/>
      <c r="CS55" s="2249"/>
      <c r="CT55" s="2248"/>
      <c r="CU55" s="2249"/>
      <c r="CV55" s="2249"/>
      <c r="CW55" s="2248"/>
      <c r="CX55" s="2249"/>
      <c r="CY55" s="2249"/>
      <c r="CZ55" s="2248">
        <f t="shared" ref="CZ55:CZ57" si="105">+DA55+DB55</f>
        <v>0</v>
      </c>
      <c r="DA55" s="2249"/>
      <c r="DB55" s="2249"/>
      <c r="DC55" s="2248"/>
      <c r="DD55" s="2248">
        <f t="shared" ref="DD55:DD57" si="106">+DE55+DF55</f>
        <v>0</v>
      </c>
      <c r="DE55" s="2249"/>
      <c r="DF55" s="2249"/>
      <c r="DG55" s="2248">
        <f t="shared" ref="DG55:DG57" si="107">+DH55+DI55</f>
        <v>0</v>
      </c>
      <c r="DH55" s="2249"/>
      <c r="DI55" s="2249"/>
      <c r="DJ55" s="2248">
        <f t="shared" ref="DJ55:DJ57" si="108">+DK55+DL55</f>
        <v>0</v>
      </c>
      <c r="DK55" s="2249"/>
      <c r="DL55" s="2249"/>
      <c r="DM55" s="2248"/>
      <c r="DN55" s="2248">
        <f t="shared" ref="DN55:DN57" si="109">+DO55+DP55+DQ55</f>
        <v>0</v>
      </c>
      <c r="DO55" s="2249"/>
      <c r="DP55" s="2249"/>
      <c r="DQ55" s="2249"/>
      <c r="DR55" s="2248"/>
      <c r="DS55" s="2248"/>
      <c r="DT55" s="2248"/>
      <c r="DU55" s="2248"/>
      <c r="DV55" s="2248"/>
      <c r="DW55" s="2248"/>
      <c r="DX55" s="2248"/>
      <c r="DY55" s="2248"/>
      <c r="DZ55" s="2249"/>
      <c r="EA55" s="2249"/>
      <c r="EB55" s="2248"/>
      <c r="EC55" s="2248"/>
      <c r="ED55" s="2252"/>
      <c r="EE55" s="2206">
        <f t="shared" ref="EE55:EE57" si="110">+L55+M55+N55+P55+R55+S55+T55+W55+X55+Y55+AA55+AB55+AC55+AF55+AG55+AH55+AI55+AL55+AO55+AR55+AS55+AT55+AU55+AX55+BG55+BM55+BP55+BS55+BV55+BY55+CB55+CC55+CF55+CG55+CJ55+CM55+CN55+CQ55+CT55+CW55+CZ55+DC55+DD55+DG55+DJ55+DM55+DN55+DR55+DS55+DT55+DU55+DV55+DX55+DY55+EB55+EC55+ED55+BJ55+BD55+BA55+AD55-X55+O55+Q55+Z55</f>
        <v>2586000.016443999</v>
      </c>
      <c r="EF55" s="2165">
        <f t="shared" si="77"/>
        <v>0</v>
      </c>
      <c r="EG55" s="2166"/>
      <c r="EH55" s="2253">
        <f t="shared" ref="EH55:EH57" si="111">+K55-EJ55</f>
        <v>2586000.016443999</v>
      </c>
      <c r="EI55" s="2166">
        <f t="shared" si="7"/>
        <v>0</v>
      </c>
      <c r="EJ55" s="2253"/>
      <c r="EL55" s="2208"/>
    </row>
    <row r="56" spans="1:142" outlineLevel="1">
      <c r="A56" s="3116">
        <v>5142</v>
      </c>
      <c r="B56" s="3110" t="s">
        <v>2951</v>
      </c>
      <c r="C56" s="2209"/>
      <c r="D56" s="2209"/>
      <c r="E56" s="2209"/>
      <c r="F56" s="2209"/>
      <c r="G56" s="2209"/>
      <c r="H56" s="2209"/>
      <c r="I56" s="2209"/>
      <c r="J56" s="2209"/>
      <c r="K56" s="2209">
        <f t="shared" si="84"/>
        <v>100</v>
      </c>
      <c r="L56" s="2210">
        <f>+[7]Úroky!$B$15</f>
        <v>100</v>
      </c>
      <c r="M56" s="3111"/>
      <c r="N56" s="3111"/>
      <c r="O56" s="3111"/>
      <c r="P56" s="3111"/>
      <c r="Q56" s="3111"/>
      <c r="R56" s="3111"/>
      <c r="S56" s="3111"/>
      <c r="T56" s="3111"/>
      <c r="U56" s="3112"/>
      <c r="V56" s="3113"/>
      <c r="W56" s="3111"/>
      <c r="X56" s="3114"/>
      <c r="Y56" s="3111"/>
      <c r="Z56" s="3111"/>
      <c r="AA56" s="3111"/>
      <c r="AB56" s="3111"/>
      <c r="AC56" s="3111"/>
      <c r="AD56" s="3111"/>
      <c r="AE56" s="3111"/>
      <c r="AF56" s="3111"/>
      <c r="AG56" s="3111"/>
      <c r="AH56" s="3111"/>
      <c r="AI56" s="3111"/>
      <c r="AJ56" s="3112"/>
      <c r="AK56" s="3112"/>
      <c r="AL56" s="3111"/>
      <c r="AM56" s="3112"/>
      <c r="AN56" s="3112"/>
      <c r="AO56" s="3111"/>
      <c r="AP56" s="3112"/>
      <c r="AQ56" s="3112"/>
      <c r="AR56" s="3111"/>
      <c r="AS56" s="3111"/>
      <c r="AT56" s="3111"/>
      <c r="AU56" s="3111"/>
      <c r="AV56" s="3112"/>
      <c r="AW56" s="3112"/>
      <c r="AX56" s="3111"/>
      <c r="AY56" s="3112"/>
      <c r="AZ56" s="3112"/>
      <c r="BA56" s="3111"/>
      <c r="BB56" s="3112"/>
      <c r="BC56" s="3112"/>
      <c r="BD56" s="3111"/>
      <c r="BE56" s="3112"/>
      <c r="BF56" s="3112"/>
      <c r="BG56" s="3111"/>
      <c r="BH56" s="3112"/>
      <c r="BI56" s="3112"/>
      <c r="BJ56" s="3111"/>
      <c r="BK56" s="3112"/>
      <c r="BL56" s="3112"/>
      <c r="BM56" s="3111"/>
      <c r="BN56" s="3112"/>
      <c r="BO56" s="3112"/>
      <c r="BP56" s="3111"/>
      <c r="BQ56" s="3112"/>
      <c r="BR56" s="3112"/>
      <c r="BS56" s="3111"/>
      <c r="BT56" s="3112"/>
      <c r="BU56" s="3112"/>
      <c r="BV56" s="3111"/>
      <c r="BW56" s="3112"/>
      <c r="BX56" s="3112"/>
      <c r="BY56" s="3111"/>
      <c r="BZ56" s="3112"/>
      <c r="CA56" s="3112"/>
      <c r="CB56" s="3111"/>
      <c r="CC56" s="3111"/>
      <c r="CD56" s="3112"/>
      <c r="CE56" s="3112"/>
      <c r="CF56" s="3111"/>
      <c r="CG56" s="3111"/>
      <c r="CH56" s="3112"/>
      <c r="CI56" s="3112"/>
      <c r="CJ56" s="3111"/>
      <c r="CK56" s="3112"/>
      <c r="CL56" s="3112"/>
      <c r="CM56" s="3111"/>
      <c r="CN56" s="3111"/>
      <c r="CO56" s="3112"/>
      <c r="CP56" s="3112"/>
      <c r="CQ56" s="3111"/>
      <c r="CR56" s="3112"/>
      <c r="CS56" s="3112"/>
      <c r="CT56" s="3111"/>
      <c r="CU56" s="3112"/>
      <c r="CV56" s="3112"/>
      <c r="CW56" s="3111"/>
      <c r="CX56" s="3112"/>
      <c r="CY56" s="3112"/>
      <c r="CZ56" s="3111"/>
      <c r="DA56" s="3112"/>
      <c r="DB56" s="3112"/>
      <c r="DC56" s="3111"/>
      <c r="DD56" s="3111"/>
      <c r="DE56" s="3112"/>
      <c r="DF56" s="3112"/>
      <c r="DG56" s="3111"/>
      <c r="DH56" s="3112"/>
      <c r="DI56" s="3112"/>
      <c r="DJ56" s="3111"/>
      <c r="DK56" s="3112"/>
      <c r="DL56" s="3112"/>
      <c r="DM56" s="3111"/>
      <c r="DN56" s="3111"/>
      <c r="DO56" s="3112"/>
      <c r="DP56" s="3112"/>
      <c r="DQ56" s="3112"/>
      <c r="DR56" s="3111"/>
      <c r="DS56" s="3111"/>
      <c r="DT56" s="3111"/>
      <c r="DU56" s="3111"/>
      <c r="DV56" s="3111"/>
      <c r="DW56" s="3111"/>
      <c r="DX56" s="3111"/>
      <c r="DY56" s="3111"/>
      <c r="DZ56" s="3112"/>
      <c r="EA56" s="3112"/>
      <c r="EB56" s="3111"/>
      <c r="EC56" s="3111"/>
      <c r="ED56" s="3115"/>
      <c r="EE56" s="2206"/>
      <c r="EF56" s="2165"/>
      <c r="EG56" s="2166"/>
      <c r="EH56" s="2253">
        <f t="shared" si="111"/>
        <v>100</v>
      </c>
      <c r="EI56" s="2166"/>
      <c r="EJ56" s="2253"/>
      <c r="EL56" s="2208"/>
    </row>
    <row r="57" spans="1:142" outlineLevel="1">
      <c r="A57" s="2254">
        <v>5144</v>
      </c>
      <c r="B57" s="3109" t="s">
        <v>675</v>
      </c>
      <c r="C57" s="2253">
        <v>0</v>
      </c>
      <c r="D57" s="2253">
        <v>0</v>
      </c>
      <c r="E57" s="2253">
        <v>0</v>
      </c>
      <c r="F57" s="2253">
        <v>0</v>
      </c>
      <c r="G57" s="2253">
        <v>0</v>
      </c>
      <c r="H57" s="2253">
        <v>0</v>
      </c>
      <c r="I57" s="2253">
        <v>0</v>
      </c>
      <c r="J57" s="2253">
        <v>0</v>
      </c>
      <c r="K57" s="2253">
        <f t="shared" si="84"/>
        <v>0</v>
      </c>
      <c r="L57" s="2255"/>
      <c r="M57" s="2256"/>
      <c r="N57" s="2256"/>
      <c r="O57" s="2256"/>
      <c r="P57" s="2256"/>
      <c r="Q57" s="2256"/>
      <c r="R57" s="2256"/>
      <c r="S57" s="2256"/>
      <c r="T57" s="2256">
        <f t="shared" si="85"/>
        <v>0</v>
      </c>
      <c r="U57" s="2257"/>
      <c r="V57" s="2258"/>
      <c r="W57" s="2256"/>
      <c r="X57" s="2259">
        <f t="shared" si="86"/>
        <v>0</v>
      </c>
      <c r="Y57" s="2256"/>
      <c r="Z57" s="2256"/>
      <c r="AA57" s="2256"/>
      <c r="AB57" s="2256"/>
      <c r="AC57" s="2256"/>
      <c r="AD57" s="2256"/>
      <c r="AE57" s="2256"/>
      <c r="AF57" s="2256"/>
      <c r="AG57" s="2256"/>
      <c r="AH57" s="2256"/>
      <c r="AI57" s="2256">
        <f t="shared" si="87"/>
        <v>0</v>
      </c>
      <c r="AJ57" s="2257"/>
      <c r="AK57" s="2257"/>
      <c r="AL57" s="2256">
        <f t="shared" si="88"/>
        <v>0</v>
      </c>
      <c r="AM57" s="2257"/>
      <c r="AN57" s="2257"/>
      <c r="AO57" s="2256">
        <f t="shared" si="89"/>
        <v>0</v>
      </c>
      <c r="AP57" s="2257"/>
      <c r="AQ57" s="2257"/>
      <c r="AR57" s="2256"/>
      <c r="AS57" s="2256"/>
      <c r="AT57" s="2256"/>
      <c r="AU57" s="2256">
        <f t="shared" si="90"/>
        <v>0</v>
      </c>
      <c r="AV57" s="2257"/>
      <c r="AW57" s="2257"/>
      <c r="AX57" s="2256">
        <f t="shared" si="91"/>
        <v>0</v>
      </c>
      <c r="AY57" s="2257"/>
      <c r="AZ57" s="2257"/>
      <c r="BA57" s="2256">
        <f t="shared" si="92"/>
        <v>0</v>
      </c>
      <c r="BB57" s="2257"/>
      <c r="BC57" s="2257"/>
      <c r="BD57" s="2256">
        <f t="shared" si="93"/>
        <v>0</v>
      </c>
      <c r="BE57" s="2257"/>
      <c r="BF57" s="2257"/>
      <c r="BG57" s="2256">
        <f t="shared" si="94"/>
        <v>0</v>
      </c>
      <c r="BH57" s="2257"/>
      <c r="BI57" s="2257"/>
      <c r="BJ57" s="2256">
        <f t="shared" si="95"/>
        <v>0</v>
      </c>
      <c r="BK57" s="2257"/>
      <c r="BL57" s="2257"/>
      <c r="BM57" s="2256">
        <f t="shared" si="96"/>
        <v>0</v>
      </c>
      <c r="BN57" s="2257"/>
      <c r="BO57" s="2257"/>
      <c r="BP57" s="2256">
        <f t="shared" si="97"/>
        <v>0</v>
      </c>
      <c r="BQ57" s="2257"/>
      <c r="BR57" s="2257"/>
      <c r="BS57" s="2256">
        <f t="shared" si="98"/>
        <v>0</v>
      </c>
      <c r="BT57" s="2257"/>
      <c r="BU57" s="2257"/>
      <c r="BV57" s="2256">
        <f t="shared" si="99"/>
        <v>0</v>
      </c>
      <c r="BW57" s="2257"/>
      <c r="BX57" s="2257"/>
      <c r="BY57" s="2256">
        <f t="shared" si="100"/>
        <v>0</v>
      </c>
      <c r="BZ57" s="2257"/>
      <c r="CA57" s="2257"/>
      <c r="CB57" s="2256"/>
      <c r="CC57" s="2256">
        <f t="shared" si="101"/>
        <v>0</v>
      </c>
      <c r="CD57" s="2257"/>
      <c r="CE57" s="2257"/>
      <c r="CF57" s="2256"/>
      <c r="CG57" s="2256">
        <f t="shared" si="102"/>
        <v>0</v>
      </c>
      <c r="CH57" s="2257"/>
      <c r="CI57" s="2257"/>
      <c r="CJ57" s="2256">
        <f t="shared" si="103"/>
        <v>0</v>
      </c>
      <c r="CK57" s="2257"/>
      <c r="CL57" s="2257"/>
      <c r="CM57" s="2256"/>
      <c r="CN57" s="2256">
        <f t="shared" si="104"/>
        <v>0</v>
      </c>
      <c r="CO57" s="2257"/>
      <c r="CP57" s="2257"/>
      <c r="CQ57" s="2256"/>
      <c r="CR57" s="2257"/>
      <c r="CS57" s="2257"/>
      <c r="CT57" s="2256"/>
      <c r="CU57" s="2257"/>
      <c r="CV57" s="2257"/>
      <c r="CW57" s="2256"/>
      <c r="CX57" s="2257"/>
      <c r="CY57" s="2257"/>
      <c r="CZ57" s="2256">
        <f t="shared" si="105"/>
        <v>0</v>
      </c>
      <c r="DA57" s="2257"/>
      <c r="DB57" s="2257"/>
      <c r="DC57" s="2256"/>
      <c r="DD57" s="2256">
        <f t="shared" si="106"/>
        <v>0</v>
      </c>
      <c r="DE57" s="2257"/>
      <c r="DF57" s="2257"/>
      <c r="DG57" s="2256">
        <f t="shared" si="107"/>
        <v>0</v>
      </c>
      <c r="DH57" s="2257"/>
      <c r="DI57" s="2257"/>
      <c r="DJ57" s="2256">
        <f t="shared" si="108"/>
        <v>0</v>
      </c>
      <c r="DK57" s="2257"/>
      <c r="DL57" s="2257"/>
      <c r="DM57" s="2256"/>
      <c r="DN57" s="2256">
        <f t="shared" si="109"/>
        <v>0</v>
      </c>
      <c r="DO57" s="2257"/>
      <c r="DP57" s="2257"/>
      <c r="DQ57" s="2257"/>
      <c r="DR57" s="2256"/>
      <c r="DS57" s="2256"/>
      <c r="DT57" s="2256"/>
      <c r="DU57" s="2256"/>
      <c r="DV57" s="2256"/>
      <c r="DW57" s="2256"/>
      <c r="DX57" s="2256"/>
      <c r="DY57" s="2256"/>
      <c r="DZ57" s="2257"/>
      <c r="EA57" s="2257"/>
      <c r="EB57" s="2256"/>
      <c r="EC57" s="2256"/>
      <c r="ED57" s="2260"/>
      <c r="EE57" s="2206">
        <f t="shared" si="110"/>
        <v>0</v>
      </c>
      <c r="EF57" s="2165"/>
      <c r="EG57" s="2166"/>
      <c r="EH57" s="2253">
        <f t="shared" si="111"/>
        <v>0</v>
      </c>
      <c r="EI57" s="2166">
        <f t="shared" si="7"/>
        <v>0</v>
      </c>
      <c r="EJ57" s="2253"/>
      <c r="EL57" s="2208"/>
    </row>
    <row r="58" spans="1:142" ht="15" thickBot="1">
      <c r="A58" s="2216" t="s">
        <v>103</v>
      </c>
      <c r="B58" s="2217" t="s">
        <v>104</v>
      </c>
      <c r="C58" s="2218">
        <v>157240969.61176002</v>
      </c>
      <c r="D58" s="2218">
        <v>211316024.9982</v>
      </c>
      <c r="E58" s="2218">
        <v>216404576.9982</v>
      </c>
      <c r="F58" s="2218">
        <v>219573986.9982</v>
      </c>
      <c r="G58" s="2218">
        <v>219573986.9982</v>
      </c>
      <c r="H58" s="2218">
        <v>229296286.9982</v>
      </c>
      <c r="I58" s="2218">
        <v>240125786.9982</v>
      </c>
      <c r="J58" s="2218">
        <v>224257818.08294398</v>
      </c>
      <c r="K58" s="2218">
        <f>+K54+K55+K16+K57+K56</f>
        <v>193288144.016444</v>
      </c>
      <c r="L58" s="2219">
        <f t="shared" ref="L58:BW58" si="112">+L54+L55+L16+L57+L56</f>
        <v>2701100.016443999</v>
      </c>
      <c r="M58" s="2220">
        <f t="shared" si="112"/>
        <v>0</v>
      </c>
      <c r="N58" s="2220">
        <f t="shared" si="112"/>
        <v>74054</v>
      </c>
      <c r="O58" s="2220">
        <f t="shared" si="112"/>
        <v>0</v>
      </c>
      <c r="P58" s="2220">
        <f t="shared" si="112"/>
        <v>10965171</v>
      </c>
      <c r="Q58" s="2220">
        <f t="shared" si="112"/>
        <v>0</v>
      </c>
      <c r="R58" s="2220">
        <f t="shared" si="112"/>
        <v>5666000</v>
      </c>
      <c r="S58" s="2220">
        <f t="shared" si="112"/>
        <v>163123</v>
      </c>
      <c r="T58" s="2220">
        <f t="shared" si="112"/>
        <v>41095550</v>
      </c>
      <c r="U58" s="2221">
        <f t="shared" si="112"/>
        <v>41025550</v>
      </c>
      <c r="V58" s="2222">
        <f t="shared" si="112"/>
        <v>70000</v>
      </c>
      <c r="W58" s="2220">
        <f t="shared" si="112"/>
        <v>0</v>
      </c>
      <c r="X58" s="2223">
        <f t="shared" si="112"/>
        <v>44597210</v>
      </c>
      <c r="Y58" s="2220">
        <f t="shared" si="112"/>
        <v>3082200</v>
      </c>
      <c r="Z58" s="2220">
        <f t="shared" si="112"/>
        <v>560000</v>
      </c>
      <c r="AA58" s="2220">
        <f t="shared" si="112"/>
        <v>300000</v>
      </c>
      <c r="AB58" s="2220">
        <f t="shared" si="112"/>
        <v>9247980</v>
      </c>
      <c r="AC58" s="2220">
        <f t="shared" si="112"/>
        <v>25725</v>
      </c>
      <c r="AD58" s="2220">
        <f t="shared" si="112"/>
        <v>226240</v>
      </c>
      <c r="AE58" s="2220">
        <f t="shared" si="112"/>
        <v>3000</v>
      </c>
      <c r="AF58" s="2220">
        <f t="shared" si="112"/>
        <v>3196000</v>
      </c>
      <c r="AG58" s="2220">
        <f t="shared" si="112"/>
        <v>795000</v>
      </c>
      <c r="AH58" s="2220">
        <f t="shared" si="112"/>
        <v>1362100</v>
      </c>
      <c r="AI58" s="2220">
        <f t="shared" si="112"/>
        <v>4492000</v>
      </c>
      <c r="AJ58" s="2221">
        <f t="shared" si="112"/>
        <v>4462000</v>
      </c>
      <c r="AK58" s="2221">
        <f t="shared" si="112"/>
        <v>30000</v>
      </c>
      <c r="AL58" s="2220">
        <f t="shared" si="112"/>
        <v>3071000</v>
      </c>
      <c r="AM58" s="2221">
        <f t="shared" si="112"/>
        <v>2971000</v>
      </c>
      <c r="AN58" s="2221">
        <f t="shared" si="112"/>
        <v>100000</v>
      </c>
      <c r="AO58" s="2220">
        <f t="shared" si="112"/>
        <v>999760</v>
      </c>
      <c r="AP58" s="2221">
        <f t="shared" si="112"/>
        <v>909760</v>
      </c>
      <c r="AQ58" s="2221">
        <f t="shared" si="112"/>
        <v>90000</v>
      </c>
      <c r="AR58" s="2220">
        <f t="shared" si="112"/>
        <v>1133800</v>
      </c>
      <c r="AS58" s="2220">
        <f t="shared" si="112"/>
        <v>17000</v>
      </c>
      <c r="AT58" s="2220">
        <f t="shared" si="112"/>
        <v>0</v>
      </c>
      <c r="AU58" s="2220">
        <f t="shared" si="112"/>
        <v>76000</v>
      </c>
      <c r="AV58" s="2221">
        <f t="shared" si="112"/>
        <v>56000</v>
      </c>
      <c r="AW58" s="2221">
        <f t="shared" si="112"/>
        <v>20000</v>
      </c>
      <c r="AX58" s="2220">
        <f t="shared" si="112"/>
        <v>360000</v>
      </c>
      <c r="AY58" s="2221">
        <f t="shared" si="112"/>
        <v>360000</v>
      </c>
      <c r="AZ58" s="2221">
        <f t="shared" si="112"/>
        <v>0</v>
      </c>
      <c r="BA58" s="2220">
        <f t="shared" si="112"/>
        <v>730000</v>
      </c>
      <c r="BB58" s="2221">
        <f t="shared" si="112"/>
        <v>460000</v>
      </c>
      <c r="BC58" s="2221">
        <f t="shared" si="112"/>
        <v>270000</v>
      </c>
      <c r="BD58" s="2220">
        <f t="shared" si="112"/>
        <v>1750000</v>
      </c>
      <c r="BE58" s="2221">
        <f t="shared" si="112"/>
        <v>1750000</v>
      </c>
      <c r="BF58" s="2221">
        <f t="shared" si="112"/>
        <v>0</v>
      </c>
      <c r="BG58" s="2220">
        <f t="shared" si="112"/>
        <v>23654500</v>
      </c>
      <c r="BH58" s="2221">
        <f t="shared" si="112"/>
        <v>23654500</v>
      </c>
      <c r="BI58" s="2221">
        <f t="shared" si="112"/>
        <v>0</v>
      </c>
      <c r="BJ58" s="2220">
        <f t="shared" si="112"/>
        <v>1062000</v>
      </c>
      <c r="BK58" s="2221">
        <f t="shared" si="112"/>
        <v>1062000</v>
      </c>
      <c r="BL58" s="2221">
        <f t="shared" si="112"/>
        <v>0</v>
      </c>
      <c r="BM58" s="2220">
        <f t="shared" si="112"/>
        <v>426000</v>
      </c>
      <c r="BN58" s="2221">
        <f t="shared" si="112"/>
        <v>426000</v>
      </c>
      <c r="BO58" s="2221">
        <f t="shared" si="112"/>
        <v>0</v>
      </c>
      <c r="BP58" s="2220">
        <f t="shared" si="112"/>
        <v>1561400</v>
      </c>
      <c r="BQ58" s="2221">
        <f t="shared" si="112"/>
        <v>1531400</v>
      </c>
      <c r="BR58" s="2221">
        <f t="shared" si="112"/>
        <v>30000</v>
      </c>
      <c r="BS58" s="2220">
        <f t="shared" si="112"/>
        <v>970000</v>
      </c>
      <c r="BT58" s="2221">
        <f t="shared" si="112"/>
        <v>930000</v>
      </c>
      <c r="BU58" s="2221">
        <f t="shared" si="112"/>
        <v>40000</v>
      </c>
      <c r="BV58" s="2220">
        <f t="shared" si="112"/>
        <v>5696731</v>
      </c>
      <c r="BW58" s="2221">
        <f t="shared" si="112"/>
        <v>5656731</v>
      </c>
      <c r="BX58" s="2221">
        <f t="shared" ref="BX58:ED58" si="113">+BX54+BX55+BX16+BX57+BX56</f>
        <v>40000</v>
      </c>
      <c r="BY58" s="2220">
        <f t="shared" si="113"/>
        <v>1160000</v>
      </c>
      <c r="BZ58" s="2221">
        <f t="shared" si="113"/>
        <v>1160000</v>
      </c>
      <c r="CA58" s="2221">
        <f t="shared" si="113"/>
        <v>0</v>
      </c>
      <c r="CB58" s="2220">
        <f t="shared" si="113"/>
        <v>250000</v>
      </c>
      <c r="CC58" s="2220">
        <f t="shared" si="113"/>
        <v>300000</v>
      </c>
      <c r="CD58" s="2221">
        <f t="shared" si="113"/>
        <v>260000</v>
      </c>
      <c r="CE58" s="2221">
        <f t="shared" si="113"/>
        <v>40000</v>
      </c>
      <c r="CF58" s="2220">
        <f t="shared" si="113"/>
        <v>180000</v>
      </c>
      <c r="CG58" s="2220">
        <f t="shared" si="113"/>
        <v>2210000</v>
      </c>
      <c r="CH58" s="2221">
        <f t="shared" si="113"/>
        <v>1860000</v>
      </c>
      <c r="CI58" s="2221">
        <f t="shared" si="113"/>
        <v>350000</v>
      </c>
      <c r="CJ58" s="2220">
        <f t="shared" si="113"/>
        <v>11777000</v>
      </c>
      <c r="CK58" s="2221">
        <f t="shared" si="113"/>
        <v>8927000</v>
      </c>
      <c r="CL58" s="2221">
        <f t="shared" si="113"/>
        <v>2850000</v>
      </c>
      <c r="CM58" s="2220">
        <f t="shared" si="113"/>
        <v>3840000</v>
      </c>
      <c r="CN58" s="2220">
        <f t="shared" si="113"/>
        <v>493000</v>
      </c>
      <c r="CO58" s="2221">
        <f t="shared" si="113"/>
        <v>493000</v>
      </c>
      <c r="CP58" s="2221">
        <f t="shared" si="113"/>
        <v>0</v>
      </c>
      <c r="CQ58" s="2220">
        <f t="shared" si="113"/>
        <v>3700000</v>
      </c>
      <c r="CR58" s="2221">
        <f t="shared" si="113"/>
        <v>3700000</v>
      </c>
      <c r="CS58" s="2221">
        <f t="shared" si="113"/>
        <v>0</v>
      </c>
      <c r="CT58" s="2220">
        <f t="shared" si="113"/>
        <v>361000</v>
      </c>
      <c r="CU58" s="2220">
        <f t="shared" si="113"/>
        <v>361000</v>
      </c>
      <c r="CV58" s="2220">
        <f t="shared" si="113"/>
        <v>0</v>
      </c>
      <c r="CW58" s="2220">
        <f t="shared" si="113"/>
        <v>260000</v>
      </c>
      <c r="CX58" s="2220">
        <f t="shared" si="113"/>
        <v>260000</v>
      </c>
      <c r="CY58" s="2220">
        <f t="shared" si="113"/>
        <v>0</v>
      </c>
      <c r="CZ58" s="2220">
        <f t="shared" si="113"/>
        <v>1180000</v>
      </c>
      <c r="DA58" s="2221">
        <f t="shared" si="113"/>
        <v>880000</v>
      </c>
      <c r="DB58" s="2221">
        <f t="shared" si="113"/>
        <v>300000</v>
      </c>
      <c r="DC58" s="2220">
        <f t="shared" si="113"/>
        <v>100000</v>
      </c>
      <c r="DD58" s="2220">
        <f t="shared" si="113"/>
        <v>7050000</v>
      </c>
      <c r="DE58" s="2221">
        <f t="shared" si="113"/>
        <v>0</v>
      </c>
      <c r="DF58" s="2221">
        <f t="shared" si="113"/>
        <v>7050000</v>
      </c>
      <c r="DG58" s="2220">
        <f t="shared" si="113"/>
        <v>0</v>
      </c>
      <c r="DH58" s="2221">
        <f t="shared" si="113"/>
        <v>0</v>
      </c>
      <c r="DI58" s="2221">
        <f t="shared" si="113"/>
        <v>0</v>
      </c>
      <c r="DJ58" s="2220">
        <f t="shared" si="113"/>
        <v>100000</v>
      </c>
      <c r="DK58" s="2221">
        <f t="shared" si="113"/>
        <v>0</v>
      </c>
      <c r="DL58" s="2221">
        <f t="shared" si="113"/>
        <v>100000</v>
      </c>
      <c r="DM58" s="2220">
        <f t="shared" si="113"/>
        <v>139000</v>
      </c>
      <c r="DN58" s="2220">
        <f t="shared" si="113"/>
        <v>3401000</v>
      </c>
      <c r="DO58" s="2221">
        <f t="shared" si="113"/>
        <v>1151000</v>
      </c>
      <c r="DP58" s="2221">
        <f t="shared" si="113"/>
        <v>0</v>
      </c>
      <c r="DQ58" s="2221">
        <f t="shared" si="113"/>
        <v>2250000</v>
      </c>
      <c r="DR58" s="2220">
        <f t="shared" si="113"/>
        <v>356500</v>
      </c>
      <c r="DS58" s="2220">
        <f t="shared" si="113"/>
        <v>0</v>
      </c>
      <c r="DT58" s="2220">
        <f t="shared" si="113"/>
        <v>0</v>
      </c>
      <c r="DU58" s="2220">
        <f t="shared" si="113"/>
        <v>0</v>
      </c>
      <c r="DV58" s="2220">
        <f t="shared" si="113"/>
        <v>0</v>
      </c>
      <c r="DW58" s="2220">
        <f t="shared" si="113"/>
        <v>0</v>
      </c>
      <c r="DX58" s="2220">
        <f t="shared" si="113"/>
        <v>0</v>
      </c>
      <c r="DY58" s="2220">
        <f t="shared" si="113"/>
        <v>0</v>
      </c>
      <c r="DZ58" s="2221">
        <f t="shared" si="113"/>
        <v>0</v>
      </c>
      <c r="EA58" s="2221">
        <f t="shared" si="113"/>
        <v>0</v>
      </c>
      <c r="EB58" s="2220">
        <f t="shared" si="113"/>
        <v>0</v>
      </c>
      <c r="EC58" s="2220">
        <f t="shared" si="113"/>
        <v>0</v>
      </c>
      <c r="ED58" s="2224">
        <f t="shared" si="113"/>
        <v>0</v>
      </c>
      <c r="EE58" s="2206"/>
      <c r="EF58" s="2165"/>
      <c r="EG58" s="2166"/>
      <c r="EH58" s="2218">
        <f>+EH54+EH55+EH16+EH57+EH56</f>
        <v>147522790.016444</v>
      </c>
      <c r="EI58" s="2166"/>
      <c r="EJ58" s="2218">
        <f>+EJ54+EJ55+EJ16+EJ57+EJ56</f>
        <v>44530000</v>
      </c>
      <c r="EL58" s="2208"/>
    </row>
    <row r="59" spans="1:142" outlineLevel="1">
      <c r="A59" s="2225"/>
      <c r="B59" s="2198"/>
      <c r="C59" s="2261"/>
      <c r="D59" s="2261"/>
      <c r="E59" s="2261"/>
      <c r="F59" s="2261"/>
      <c r="G59" s="2261"/>
      <c r="H59" s="2261"/>
      <c r="I59" s="2261"/>
      <c r="J59" s="2261"/>
      <c r="K59" s="2261"/>
      <c r="L59" s="2262"/>
      <c r="M59" s="2256"/>
      <c r="N59" s="2256"/>
      <c r="O59" s="2256"/>
      <c r="P59" s="2256"/>
      <c r="Q59" s="2256"/>
      <c r="R59" s="2256"/>
      <c r="S59" s="2256"/>
      <c r="T59" s="2256"/>
      <c r="U59" s="2257"/>
      <c r="V59" s="2258"/>
      <c r="W59" s="2256"/>
      <c r="X59" s="2259">
        <f t="shared" ref="X59:X67" si="114">+V59+AW59+CL59+CI59+CE59+DQ59+AK59+AQ59+AZ59+BI59+BO59+BR59+BU59+BX59+CA59+CP59+DB59+DF59+DI59+DL59+AN59+EA59</f>
        <v>0</v>
      </c>
      <c r="Y59" s="2256"/>
      <c r="Z59" s="2256"/>
      <c r="AA59" s="2256"/>
      <c r="AB59" s="2256"/>
      <c r="AC59" s="2256"/>
      <c r="AD59" s="2256"/>
      <c r="AE59" s="2256"/>
      <c r="AF59" s="2256"/>
      <c r="AG59" s="2256"/>
      <c r="AH59" s="2256"/>
      <c r="AI59" s="2256"/>
      <c r="AJ59" s="2257"/>
      <c r="AK59" s="2257"/>
      <c r="AL59" s="2256"/>
      <c r="AM59" s="2257"/>
      <c r="AN59" s="2257"/>
      <c r="AO59" s="2256"/>
      <c r="AP59" s="2257"/>
      <c r="AQ59" s="2257"/>
      <c r="AR59" s="2256"/>
      <c r="AS59" s="2256"/>
      <c r="AT59" s="2256"/>
      <c r="AU59" s="2256"/>
      <c r="AV59" s="2257"/>
      <c r="AW59" s="2257"/>
      <c r="AX59" s="2256"/>
      <c r="AY59" s="2257"/>
      <c r="AZ59" s="2257"/>
      <c r="BA59" s="2256"/>
      <c r="BB59" s="2257"/>
      <c r="BC59" s="2257"/>
      <c r="BD59" s="2256"/>
      <c r="BE59" s="2257"/>
      <c r="BF59" s="2257"/>
      <c r="BG59" s="2256"/>
      <c r="BH59" s="2257"/>
      <c r="BI59" s="2257"/>
      <c r="BJ59" s="2256"/>
      <c r="BK59" s="2257"/>
      <c r="BL59" s="2257"/>
      <c r="BM59" s="2256"/>
      <c r="BN59" s="2257"/>
      <c r="BO59" s="2257"/>
      <c r="BP59" s="2256"/>
      <c r="BQ59" s="2257"/>
      <c r="BR59" s="2257"/>
      <c r="BS59" s="2256"/>
      <c r="BT59" s="2257"/>
      <c r="BU59" s="2257"/>
      <c r="BV59" s="2256"/>
      <c r="BW59" s="2257"/>
      <c r="BX59" s="2257"/>
      <c r="BY59" s="2256"/>
      <c r="BZ59" s="2257"/>
      <c r="CA59" s="2257"/>
      <c r="CB59" s="2256"/>
      <c r="CC59" s="2256"/>
      <c r="CD59" s="2257"/>
      <c r="CE59" s="2257"/>
      <c r="CF59" s="2256"/>
      <c r="CG59" s="2256"/>
      <c r="CH59" s="2257"/>
      <c r="CI59" s="2257"/>
      <c r="CJ59" s="2256"/>
      <c r="CK59" s="2257"/>
      <c r="CL59" s="2257"/>
      <c r="CM59" s="2256"/>
      <c r="CN59" s="2256"/>
      <c r="CO59" s="2257"/>
      <c r="CP59" s="2257"/>
      <c r="CQ59" s="2256"/>
      <c r="CR59" s="2257"/>
      <c r="CS59" s="2257"/>
      <c r="CT59" s="2256"/>
      <c r="CU59" s="2257"/>
      <c r="CV59" s="2257"/>
      <c r="CW59" s="2256"/>
      <c r="CX59" s="2257"/>
      <c r="CY59" s="2257"/>
      <c r="CZ59" s="2256"/>
      <c r="DA59" s="2257"/>
      <c r="DB59" s="2257"/>
      <c r="DC59" s="2256"/>
      <c r="DD59" s="2256"/>
      <c r="DE59" s="2257"/>
      <c r="DF59" s="2257"/>
      <c r="DG59" s="2256"/>
      <c r="DH59" s="2257"/>
      <c r="DI59" s="2257"/>
      <c r="DJ59" s="2256"/>
      <c r="DK59" s="2257"/>
      <c r="DL59" s="2257"/>
      <c r="DM59" s="2256"/>
      <c r="DN59" s="2256"/>
      <c r="DO59" s="2257"/>
      <c r="DP59" s="2257"/>
      <c r="DQ59" s="2257"/>
      <c r="DR59" s="2256"/>
      <c r="DS59" s="2256"/>
      <c r="DT59" s="2256"/>
      <c r="DU59" s="2256"/>
      <c r="DV59" s="2256"/>
      <c r="DW59" s="2256"/>
      <c r="DX59" s="2256"/>
      <c r="DY59" s="2256"/>
      <c r="DZ59" s="2257"/>
      <c r="EA59" s="2257"/>
      <c r="EB59" s="2256"/>
      <c r="EC59" s="2256"/>
      <c r="ED59" s="2260"/>
      <c r="EE59" s="2206">
        <f t="shared" ref="EE59" si="115">+L59+M59+N59+P59+R59+S59+T59+W59+X59+Y59+AA59+AB59+AC59+AF59+AG59+AH59+AI59+AL59+AO59+AR59+AS59+AT59+AU59+AX59+BG59+BM59+BP59+BS59+BV59+BY59+CB59+CC59+CF59+CG59+CJ59+CM59+CN59+CQ59+CT59+CW59+CZ59+DC59+DD59+DG59+DJ59+DM59+DN59+DR59+DS59+DT59+DU59+DV59+DX59+DY59+EB59+EC59+ED59+BJ59+BD59+BA59+AD59-X59</f>
        <v>0</v>
      </c>
      <c r="EF59" s="2165"/>
      <c r="EG59" s="2166"/>
      <c r="EH59" s="2253"/>
      <c r="EI59" s="2166">
        <f t="shared" si="7"/>
        <v>0</v>
      </c>
      <c r="EJ59" s="2253"/>
      <c r="EL59" s="2208"/>
    </row>
    <row r="60" spans="1:142" outlineLevel="1">
      <c r="A60" s="2263">
        <v>6111</v>
      </c>
      <c r="B60" s="2264" t="s">
        <v>90</v>
      </c>
      <c r="C60" s="2209">
        <v>0</v>
      </c>
      <c r="D60" s="2209">
        <v>3269880</v>
      </c>
      <c r="E60" s="2209">
        <v>3269880</v>
      </c>
      <c r="F60" s="2209">
        <v>3269880</v>
      </c>
      <c r="G60" s="2209">
        <v>3269880</v>
      </c>
      <c r="H60" s="2209">
        <v>3269880</v>
      </c>
      <c r="I60" s="2209">
        <v>3269880</v>
      </c>
      <c r="J60" s="2209">
        <v>3269880</v>
      </c>
      <c r="K60" s="2209">
        <f t="shared" ref="K60:K67" si="116">SUM(L60:T60)+SUM(Y60:AI60)+AL60+AO60+SUM(AR60:AU60)+AX60+BG60+BM60+BP60+BS60+BV60+BY60+CB60+CC60+CF60+CG60+CJ60+SUM(CM60:CN60)+CW60+CZ60+DC60+DD60+DG60+DJ60+DM60+DN60+SUM(DR60:DY60)+CQ60+CT60+SUM(EB60:ED60)+W60+BA60+BD60+BJ60</f>
        <v>30000</v>
      </c>
      <c r="L60" s="2210"/>
      <c r="M60" s="2211"/>
      <c r="N60" s="2211"/>
      <c r="O60" s="2211"/>
      <c r="P60" s="2211"/>
      <c r="Q60" s="2211"/>
      <c r="R60" s="2211"/>
      <c r="S60" s="2211"/>
      <c r="T60" s="2211">
        <f t="shared" ref="T60:T71" si="117">+U60+V60</f>
        <v>30000</v>
      </c>
      <c r="U60" s="2212">
        <f>+[2]Správa!$B$153</f>
        <v>30000</v>
      </c>
      <c r="V60" s="2213"/>
      <c r="W60" s="2211"/>
      <c r="X60" s="2227">
        <f t="shared" si="114"/>
        <v>0</v>
      </c>
      <c r="Y60" s="2211"/>
      <c r="Z60" s="2211"/>
      <c r="AA60" s="2211"/>
      <c r="AB60" s="2211"/>
      <c r="AC60" s="2211"/>
      <c r="AD60" s="2211"/>
      <c r="AE60" s="2211"/>
      <c r="AF60" s="2211"/>
      <c r="AG60" s="2211"/>
      <c r="AH60" s="2211"/>
      <c r="AI60" s="2211">
        <f t="shared" ref="AI60:AI71" si="118">+AJ60+AK60</f>
        <v>0</v>
      </c>
      <c r="AJ60" s="2212"/>
      <c r="AK60" s="2212"/>
      <c r="AL60" s="2211">
        <f t="shared" ref="AL60:AL71" si="119">+AM60+AN60</f>
        <v>0</v>
      </c>
      <c r="AM60" s="2212"/>
      <c r="AN60" s="2212"/>
      <c r="AO60" s="2211">
        <f t="shared" ref="AO60:AO71" si="120">+AP60+AQ60</f>
        <v>0</v>
      </c>
      <c r="AP60" s="2212"/>
      <c r="AQ60" s="2212"/>
      <c r="AR60" s="2211"/>
      <c r="AS60" s="2211"/>
      <c r="AT60" s="2211"/>
      <c r="AU60" s="2211">
        <f t="shared" ref="AU60:AU71" si="121">+AV60+AW60</f>
        <v>0</v>
      </c>
      <c r="AV60" s="2212"/>
      <c r="AW60" s="2212"/>
      <c r="AX60" s="2211">
        <f t="shared" ref="AX60:AX71" si="122">+AY60+AZ60</f>
        <v>0</v>
      </c>
      <c r="AY60" s="2212"/>
      <c r="AZ60" s="2212"/>
      <c r="BA60" s="2211">
        <f t="shared" ref="BA60:BA67" si="123">+BB60+BC60</f>
        <v>0</v>
      </c>
      <c r="BB60" s="2212"/>
      <c r="BC60" s="2212"/>
      <c r="BD60" s="2211">
        <f t="shared" ref="BD60:BD67" si="124">+BE60+BF60</f>
        <v>0</v>
      </c>
      <c r="BE60" s="2212"/>
      <c r="BF60" s="2212"/>
      <c r="BG60" s="2211">
        <f t="shared" ref="BG60:BG71" si="125">+BH60+BI60</f>
        <v>0</v>
      </c>
      <c r="BH60" s="2212"/>
      <c r="BI60" s="2212"/>
      <c r="BJ60" s="2211">
        <f t="shared" ref="BJ60:BJ67" si="126">+BK60+BL60</f>
        <v>0</v>
      </c>
      <c r="BK60" s="2212"/>
      <c r="BL60" s="2212"/>
      <c r="BM60" s="2211">
        <f t="shared" ref="BM60:BM71" si="127">+BN60+BO60</f>
        <v>0</v>
      </c>
      <c r="BN60" s="2212"/>
      <c r="BO60" s="2212"/>
      <c r="BP60" s="2211">
        <f t="shared" ref="BP60:BP71" si="128">+BQ60+BR60</f>
        <v>0</v>
      </c>
      <c r="BQ60" s="2212"/>
      <c r="BR60" s="2212"/>
      <c r="BS60" s="2211">
        <f t="shared" ref="BS60:BS71" si="129">+BT60+BU60</f>
        <v>0</v>
      </c>
      <c r="BT60" s="2212"/>
      <c r="BU60" s="2212"/>
      <c r="BV60" s="2211">
        <f t="shared" ref="BV60:BV71" si="130">+BW60+BX60</f>
        <v>0</v>
      </c>
      <c r="BW60" s="2212"/>
      <c r="BX60" s="2212"/>
      <c r="BY60" s="2211">
        <f t="shared" ref="BY60:BY71" si="131">+BZ60+CA60</f>
        <v>0</v>
      </c>
      <c r="BZ60" s="2212"/>
      <c r="CA60" s="2212"/>
      <c r="CB60" s="2211"/>
      <c r="CC60" s="2211">
        <f t="shared" ref="CC60:CC71" si="132">+CD60+CE60</f>
        <v>0</v>
      </c>
      <c r="CD60" s="2212"/>
      <c r="CE60" s="2212"/>
      <c r="CF60" s="2211"/>
      <c r="CG60" s="2211">
        <f t="shared" ref="CG60:CG71" si="133">+CH60+CI60</f>
        <v>0</v>
      </c>
      <c r="CH60" s="2212"/>
      <c r="CI60" s="2212"/>
      <c r="CJ60" s="2211">
        <f t="shared" ref="CJ60:CJ71" si="134">+CK60+CL60</f>
        <v>0</v>
      </c>
      <c r="CK60" s="2212"/>
      <c r="CL60" s="2212"/>
      <c r="CM60" s="2211"/>
      <c r="CN60" s="2211">
        <f t="shared" ref="CN60:CN71" si="135">+CO60+CP60</f>
        <v>0</v>
      </c>
      <c r="CO60" s="2212"/>
      <c r="CP60" s="2212"/>
      <c r="CQ60" s="2211"/>
      <c r="CR60" s="2212"/>
      <c r="CS60" s="2212"/>
      <c r="CT60" s="2211"/>
      <c r="CU60" s="2212"/>
      <c r="CV60" s="2212"/>
      <c r="CW60" s="2211"/>
      <c r="CX60" s="2212"/>
      <c r="CY60" s="2212"/>
      <c r="CZ60" s="2211">
        <f t="shared" ref="CZ60:CZ71" si="136">+DA60+DB60</f>
        <v>0</v>
      </c>
      <c r="DA60" s="2212"/>
      <c r="DB60" s="2212"/>
      <c r="DC60" s="2211"/>
      <c r="DD60" s="2211">
        <f t="shared" ref="DD60:DD71" si="137">+DE60+DF60</f>
        <v>0</v>
      </c>
      <c r="DE60" s="2212"/>
      <c r="DF60" s="2212"/>
      <c r="DG60" s="2211">
        <f t="shared" ref="DG60:DG71" si="138">+DH60+DI60</f>
        <v>0</v>
      </c>
      <c r="DH60" s="2212"/>
      <c r="DI60" s="2212"/>
      <c r="DJ60" s="2211">
        <f t="shared" ref="DJ60:DJ71" si="139">+DK60+DL60</f>
        <v>0</v>
      </c>
      <c r="DK60" s="2212"/>
      <c r="DL60" s="2212"/>
      <c r="DM60" s="2211"/>
      <c r="DN60" s="2211">
        <f t="shared" ref="DN60:DN71" si="140">+DO60+DP60+DQ60</f>
        <v>0</v>
      </c>
      <c r="DO60" s="2212"/>
      <c r="DP60" s="2212"/>
      <c r="DQ60" s="2212"/>
      <c r="DR60" s="2211"/>
      <c r="DS60" s="2211"/>
      <c r="DT60" s="2211"/>
      <c r="DU60" s="2211"/>
      <c r="DV60" s="2211"/>
      <c r="DW60" s="2211"/>
      <c r="DX60" s="2211"/>
      <c r="DY60" s="2211"/>
      <c r="DZ60" s="2212"/>
      <c r="EA60" s="2212"/>
      <c r="EB60" s="2211"/>
      <c r="EC60" s="2211"/>
      <c r="ED60" s="2215"/>
      <c r="EE60" s="2206">
        <f t="shared" ref="EE60:EE71" si="141">+L60+M60+N60+P60+R60+S60+T60+W60+X60+Y60+AA60+AB60+AC60+AF60+AG60+AH60+AI60+AL60+AO60+AR60+AS60+AT60+AU60+AX60+BG60+BM60+BP60+BS60+BV60+BY60+CB60+CC60+CF60+CG60+CJ60+CM60+CN60+CQ60+CT60+CW60+CZ60+DC60+DD60+DG60+DJ60+DM60+DN60+DR60+DS60+DT60+DU60+DV60+DX60+DY60+EB60+EC60+ED60+BJ60+BD60+BA60+AD60-X60+O60+Q60+Z60</f>
        <v>30000</v>
      </c>
      <c r="EF60" s="2165">
        <f>EE60-K60</f>
        <v>0</v>
      </c>
      <c r="EG60" s="2166"/>
      <c r="EH60" s="2209">
        <f t="shared" ref="EH60:EH71" si="142">+K60-EJ60</f>
        <v>30000</v>
      </c>
      <c r="EI60" s="2166">
        <f t="shared" si="7"/>
        <v>0</v>
      </c>
      <c r="EJ60" s="2209">
        <f t="shared" ref="EJ60:EJ71" si="143">+V60+AK60+AN60++AQ60+AW60+AZ60+BI60+BO60+BR60+BU60+BX60+CA60+CE60+CI60+CL60+CP60+DB60+DF60+DI60+DL60+DQ60</f>
        <v>0</v>
      </c>
      <c r="EL60" s="2208"/>
    </row>
    <row r="61" spans="1:142" outlineLevel="1">
      <c r="A61" s="2225">
        <v>6121</v>
      </c>
      <c r="B61" s="2198" t="s">
        <v>105</v>
      </c>
      <c r="C61" s="2209">
        <v>51938654.480000004</v>
      </c>
      <c r="D61" s="2209">
        <v>120189200</v>
      </c>
      <c r="E61" s="2209">
        <v>138389200</v>
      </c>
      <c r="F61" s="2209">
        <v>135465099</v>
      </c>
      <c r="G61" s="2209">
        <v>141315099</v>
      </c>
      <c r="H61" s="2209">
        <v>111587202</v>
      </c>
      <c r="I61" s="2209">
        <v>111587202</v>
      </c>
      <c r="J61" s="2209">
        <v>83500240</v>
      </c>
      <c r="K61" s="2209">
        <f t="shared" si="116"/>
        <v>77187000</v>
      </c>
      <c r="L61" s="2210"/>
      <c r="M61" s="2211"/>
      <c r="N61" s="2211"/>
      <c r="O61" s="2211"/>
      <c r="P61" s="2211">
        <f>+'[7]Všebecná pokladna'!$B$71</f>
        <v>0</v>
      </c>
      <c r="Q61" s="2211"/>
      <c r="R61" s="2211"/>
      <c r="S61" s="2211"/>
      <c r="T61" s="2211">
        <f t="shared" si="117"/>
        <v>0</v>
      </c>
      <c r="U61" s="2212"/>
      <c r="V61" s="2213"/>
      <c r="W61" s="2211"/>
      <c r="X61" s="2231">
        <f t="shared" si="114"/>
        <v>0</v>
      </c>
      <c r="Y61" s="2211"/>
      <c r="Z61" s="2211"/>
      <c r="AA61" s="2211"/>
      <c r="AB61" s="2211"/>
      <c r="AC61" s="2211"/>
      <c r="AD61" s="2211">
        <f>+'[4]Hotel Budka'!$B$4</f>
        <v>0</v>
      </c>
      <c r="AE61" s="2211"/>
      <c r="AF61" s="2211">
        <f>+[3]Knihovna!$B$36</f>
        <v>0</v>
      </c>
      <c r="AG61" s="2211"/>
      <c r="AH61" s="2211"/>
      <c r="AI61" s="2211">
        <f t="shared" ref="AI61:AI63" si="144">+AJ61+AK61</f>
        <v>2000000</v>
      </c>
      <c r="AJ61" s="2212">
        <f>+[4]Byty!$B$4</f>
        <v>2000000</v>
      </c>
      <c r="AK61" s="2212"/>
      <c r="AL61" s="2265">
        <f t="shared" si="119"/>
        <v>0</v>
      </c>
      <c r="AM61" s="2236">
        <f>+[3]DPS!$D$49</f>
        <v>0</v>
      </c>
      <c r="AN61" s="2236">
        <f>+[3]DPS!$E$49</f>
        <v>0</v>
      </c>
      <c r="AO61" s="2265">
        <f t="shared" si="120"/>
        <v>9300000</v>
      </c>
      <c r="AP61" s="2236">
        <f>+[4]Nebyty!$B$4</f>
        <v>9300000</v>
      </c>
      <c r="AQ61" s="2236"/>
      <c r="AR61" s="2211"/>
      <c r="AS61" s="2211">
        <f>+'[3]Zdrav. středisko'!$B$18</f>
        <v>0</v>
      </c>
      <c r="AT61" s="2211"/>
      <c r="AU61" s="2211">
        <f t="shared" si="121"/>
        <v>80000</v>
      </c>
      <c r="AV61" s="2212">
        <f>+[3]Hřbitov!$D$34</f>
        <v>80000</v>
      </c>
      <c r="AW61" s="2212">
        <f>+[3]Hřbitov!$E$34</f>
        <v>0</v>
      </c>
      <c r="AX61" s="2232">
        <f t="shared" si="122"/>
        <v>115000</v>
      </c>
      <c r="AY61" s="2212">
        <f>+[4]Koupaliště!$B$4+[3]koupaliště!$B$36</f>
        <v>115000</v>
      </c>
      <c r="AZ61" s="2212">
        <f>+[3]koupaliště!$E$36</f>
        <v>0</v>
      </c>
      <c r="BA61" s="2232">
        <f t="shared" si="123"/>
        <v>0</v>
      </c>
      <c r="BB61" s="2212">
        <f>+[4]Hřiště!$B$4</f>
        <v>0</v>
      </c>
      <c r="BC61" s="2212"/>
      <c r="BD61" s="2232">
        <f t="shared" si="124"/>
        <v>0</v>
      </c>
      <c r="BE61" s="2212"/>
      <c r="BF61" s="2212"/>
      <c r="BG61" s="2211">
        <f t="shared" si="125"/>
        <v>0</v>
      </c>
      <c r="BH61" s="2212">
        <f>+[4]ZŠ!$B$4</f>
        <v>0</v>
      </c>
      <c r="BI61" s="2212"/>
      <c r="BJ61" s="2211">
        <f t="shared" si="126"/>
        <v>0</v>
      </c>
      <c r="BK61" s="2212">
        <f>+[4]Sv.Š!$B$4</f>
        <v>0</v>
      </c>
      <c r="BL61" s="2212"/>
      <c r="BM61" s="2211">
        <f t="shared" si="127"/>
        <v>0</v>
      </c>
      <c r="BN61" s="2212">
        <f>+'[4]Č.p. 65'!$B$4</f>
        <v>0</v>
      </c>
      <c r="BO61" s="2212"/>
      <c r="BP61" s="2211">
        <f t="shared" si="128"/>
        <v>0</v>
      </c>
      <c r="BQ61" s="2212"/>
      <c r="BR61" s="2212"/>
      <c r="BS61" s="2211">
        <f t="shared" si="129"/>
        <v>770000</v>
      </c>
      <c r="BT61" s="2212">
        <f>+'[4]MŠ Pražská'!$B$4</f>
        <v>770000</v>
      </c>
      <c r="BU61" s="2212"/>
      <c r="BV61" s="2211">
        <f t="shared" si="130"/>
        <v>0</v>
      </c>
      <c r="BW61" s="2212">
        <f>+'[4]MŠ Kollárova'!$B$4</f>
        <v>0</v>
      </c>
      <c r="BX61" s="2212"/>
      <c r="BY61" s="2211">
        <f t="shared" si="131"/>
        <v>0</v>
      </c>
      <c r="BZ61" s="2212">
        <f>+'[4]Jídelna ZŠ'!$B$3</f>
        <v>0</v>
      </c>
      <c r="CA61" s="2212"/>
      <c r="CB61" s="2211"/>
      <c r="CC61" s="2232">
        <f t="shared" si="132"/>
        <v>41920000</v>
      </c>
      <c r="CD61" s="2212">
        <f>+'[4]MŠ Cukrovar'!$B$4</f>
        <v>41920000</v>
      </c>
      <c r="CE61" s="2212"/>
      <c r="CF61" s="2211"/>
      <c r="CG61" s="2211">
        <f t="shared" si="133"/>
        <v>102000</v>
      </c>
      <c r="CH61" s="2230">
        <f>+[3]VO!$D$37</f>
        <v>102000</v>
      </c>
      <c r="CI61" s="2212">
        <f>+[3]VO!$E$37</f>
        <v>0</v>
      </c>
      <c r="CJ61" s="2232">
        <f t="shared" si="134"/>
        <v>100000</v>
      </c>
      <c r="CK61" s="2212">
        <f>+'[4]Silnice stavba'!$B$4</f>
        <v>100000</v>
      </c>
      <c r="CL61" s="2212"/>
      <c r="CM61" s="2211"/>
      <c r="CN61" s="2211">
        <f t="shared" si="135"/>
        <v>0</v>
      </c>
      <c r="CO61" s="2212">
        <f>+[4]Vodovod!$B$4</f>
        <v>0</v>
      </c>
      <c r="CP61" s="2212"/>
      <c r="CQ61" s="2211"/>
      <c r="CR61" s="2212"/>
      <c r="CS61" s="2212"/>
      <c r="CT61" s="2211">
        <f>+CU61+CV61</f>
        <v>22800000</v>
      </c>
      <c r="CU61" s="2212">
        <f>+[4]Kanalizace!$B$4</f>
        <v>22800000</v>
      </c>
      <c r="CV61" s="2212"/>
      <c r="CW61" s="2211"/>
      <c r="CX61" s="2212"/>
      <c r="CY61" s="2212"/>
      <c r="CZ61" s="2211">
        <f t="shared" si="136"/>
        <v>0</v>
      </c>
      <c r="DA61" s="2212">
        <f>+'[4]Inženýrské sítě'!$B$4</f>
        <v>0</v>
      </c>
      <c r="DB61" s="2212"/>
      <c r="DC61" s="2211"/>
      <c r="DD61" s="2211">
        <f t="shared" si="137"/>
        <v>0</v>
      </c>
      <c r="DE61" s="2212"/>
      <c r="DF61" s="2212"/>
      <c r="DG61" s="2211">
        <f t="shared" si="138"/>
        <v>0</v>
      </c>
      <c r="DH61" s="2212"/>
      <c r="DI61" s="2212"/>
      <c r="DJ61" s="2211">
        <f t="shared" si="139"/>
        <v>0</v>
      </c>
      <c r="DK61" s="2212"/>
      <c r="DL61" s="2212"/>
      <c r="DM61" s="2211">
        <f>+'[6]Povodeň 3744'!$B$29</f>
        <v>0</v>
      </c>
      <c r="DN61" s="2211">
        <f t="shared" si="140"/>
        <v>0</v>
      </c>
      <c r="DO61" s="2212"/>
      <c r="DP61" s="2212"/>
      <c r="DQ61" s="2212"/>
      <c r="DR61" s="2211"/>
      <c r="DS61" s="2211"/>
      <c r="DT61" s="2211"/>
      <c r="DU61" s="2211"/>
      <c r="DV61" s="2211"/>
      <c r="DW61" s="2211"/>
      <c r="DX61" s="2211"/>
      <c r="DY61" s="2212">
        <f>+DZ61+EA61</f>
        <v>0</v>
      </c>
      <c r="DZ61" s="2212"/>
      <c r="EA61" s="2212"/>
      <c r="EB61" s="2211"/>
      <c r="EC61" s="2211">
        <f>+[4]Cyklostezky!$B$4</f>
        <v>0</v>
      </c>
      <c r="ED61" s="2215"/>
      <c r="EE61" s="2206">
        <f t="shared" si="141"/>
        <v>77187000</v>
      </c>
      <c r="EF61" s="2165">
        <f>EE61-K61</f>
        <v>0</v>
      </c>
      <c r="EG61" s="2166"/>
      <c r="EH61" s="2209">
        <f t="shared" si="142"/>
        <v>77187000</v>
      </c>
      <c r="EI61" s="2166">
        <f t="shared" si="7"/>
        <v>0</v>
      </c>
      <c r="EJ61" s="2209">
        <f>+V61+AK61+AN61++AQ61+AW61+AZ61+BI61+BO61+BR61+BU61+BX61+CA61+CE61+CI61+CL61+CP61+DB61+DF61+DI61+DL61+DQ61</f>
        <v>0</v>
      </c>
      <c r="EL61" s="2208"/>
    </row>
    <row r="62" spans="1:142" outlineLevel="1">
      <c r="A62" s="2225">
        <v>6121</v>
      </c>
      <c r="B62" s="2198" t="s">
        <v>106</v>
      </c>
      <c r="C62" s="2209">
        <v>9560000</v>
      </c>
      <c r="D62" s="2209">
        <v>8492604</v>
      </c>
      <c r="E62" s="2209">
        <v>8992604</v>
      </c>
      <c r="F62" s="2209">
        <v>9081660</v>
      </c>
      <c r="G62" s="2209">
        <v>9081660</v>
      </c>
      <c r="H62" s="2209">
        <v>9291660</v>
      </c>
      <c r="I62" s="2209">
        <v>9291660</v>
      </c>
      <c r="J62" s="2209">
        <v>5291660</v>
      </c>
      <c r="K62" s="2209">
        <f t="shared" si="116"/>
        <v>2180000</v>
      </c>
      <c r="L62" s="2210"/>
      <c r="M62" s="2211"/>
      <c r="N62" s="2211"/>
      <c r="O62" s="2211"/>
      <c r="P62" s="2211"/>
      <c r="Q62" s="2211"/>
      <c r="R62" s="2211"/>
      <c r="S62" s="2211"/>
      <c r="T62" s="2211">
        <f t="shared" si="117"/>
        <v>0</v>
      </c>
      <c r="U62" s="2212"/>
      <c r="V62" s="2213"/>
      <c r="W62" s="2211"/>
      <c r="X62" s="2227">
        <f t="shared" si="114"/>
        <v>0</v>
      </c>
      <c r="Y62" s="2211"/>
      <c r="Z62" s="2211"/>
      <c r="AA62" s="2211"/>
      <c r="AB62" s="2211"/>
      <c r="AC62" s="2211"/>
      <c r="AD62" s="2211">
        <f>+'[4]Hotel Budka'!$B$5</f>
        <v>0</v>
      </c>
      <c r="AE62" s="2211"/>
      <c r="AF62" s="2211">
        <f>+[3]Knihovna!$B$34+[3]Knihovna!$B$35</f>
        <v>250000</v>
      </c>
      <c r="AG62" s="2211"/>
      <c r="AH62" s="2211"/>
      <c r="AI62" s="2211">
        <f t="shared" si="144"/>
        <v>0</v>
      </c>
      <c r="AJ62" s="2212">
        <f>+[4]Byty!$B$5</f>
        <v>0</v>
      </c>
      <c r="AK62" s="2212"/>
      <c r="AL62" s="2265">
        <f t="shared" si="119"/>
        <v>0</v>
      </c>
      <c r="AM62" s="2236"/>
      <c r="AN62" s="2236"/>
      <c r="AO62" s="2265">
        <f t="shared" si="120"/>
        <v>500000</v>
      </c>
      <c r="AP62" s="2212">
        <f>+[4]Nebyty!$B$5</f>
        <v>500000</v>
      </c>
      <c r="AQ62" s="2236"/>
      <c r="AR62" s="2211"/>
      <c r="AS62" s="2211"/>
      <c r="AT62" s="2211"/>
      <c r="AU62" s="2211">
        <f t="shared" si="121"/>
        <v>15000</v>
      </c>
      <c r="AV62" s="2212">
        <f>+[3]Hřbitov!$D$33</f>
        <v>15000</v>
      </c>
      <c r="AW62" s="2212">
        <f>+[3]Hřbitov!$E$33</f>
        <v>0</v>
      </c>
      <c r="AX62" s="2211">
        <f t="shared" si="122"/>
        <v>255000</v>
      </c>
      <c r="AY62" s="2212">
        <f>+[3]koupaliště!$D$35</f>
        <v>255000</v>
      </c>
      <c r="AZ62" s="2212">
        <f>+[3]koupaliště!$E$35</f>
        <v>0</v>
      </c>
      <c r="BA62" s="2211">
        <f t="shared" si="123"/>
        <v>0</v>
      </c>
      <c r="BB62" s="2212">
        <f>+[4]Hřiště!$B$5</f>
        <v>0</v>
      </c>
      <c r="BC62" s="2212"/>
      <c r="BD62" s="2211">
        <f t="shared" si="124"/>
        <v>0</v>
      </c>
      <c r="BE62" s="2212"/>
      <c r="BF62" s="2212"/>
      <c r="BG62" s="2211">
        <f t="shared" si="125"/>
        <v>0</v>
      </c>
      <c r="BH62" s="2212">
        <f>+[4]ZŠ!$B$5</f>
        <v>0</v>
      </c>
      <c r="BI62" s="2212"/>
      <c r="BJ62" s="2211">
        <f t="shared" si="126"/>
        <v>0</v>
      </c>
      <c r="BK62" s="2212">
        <f>+[4]Sv.Š!$B$5</f>
        <v>0</v>
      </c>
      <c r="BL62" s="2212"/>
      <c r="BM62" s="2211">
        <f t="shared" si="127"/>
        <v>0</v>
      </c>
      <c r="BN62" s="2212">
        <f>+'[4]Č.p. 65'!$B$5</f>
        <v>0</v>
      </c>
      <c r="BO62" s="2212"/>
      <c r="BP62" s="2211">
        <f t="shared" si="128"/>
        <v>0</v>
      </c>
      <c r="BQ62" s="2212"/>
      <c r="BR62" s="2212"/>
      <c r="BS62" s="2211">
        <f t="shared" si="129"/>
        <v>10000</v>
      </c>
      <c r="BT62" s="2212">
        <f>+'[4]MŠ Pražská'!$B$5</f>
        <v>10000</v>
      </c>
      <c r="BU62" s="2212"/>
      <c r="BV62" s="2211">
        <f t="shared" si="130"/>
        <v>200000</v>
      </c>
      <c r="BW62" s="2212">
        <f>+'[4]MŠ Kollárova'!$B$5+'[3]MŠ Kollárova'!$B$21</f>
        <v>200000</v>
      </c>
      <c r="BX62" s="2212"/>
      <c r="BY62" s="2211">
        <f t="shared" si="131"/>
        <v>0</v>
      </c>
      <c r="BZ62" s="2212">
        <f>+'[4]Jídelna ZŠ'!$B$4</f>
        <v>0</v>
      </c>
      <c r="CA62" s="2212"/>
      <c r="CB62" s="2211"/>
      <c r="CC62" s="2211">
        <f t="shared" si="132"/>
        <v>100000</v>
      </c>
      <c r="CD62" s="2212">
        <f>+'[4]MŠ Cukrovar'!$B$5</f>
        <v>100000</v>
      </c>
      <c r="CE62" s="2212"/>
      <c r="CF62" s="2211">
        <f>+'[5]Územní plán 3635'!$B$29</f>
        <v>290000</v>
      </c>
      <c r="CG62" s="2211">
        <f t="shared" si="133"/>
        <v>0</v>
      </c>
      <c r="CH62" s="2212"/>
      <c r="CI62" s="2212"/>
      <c r="CJ62" s="2211">
        <f t="shared" si="134"/>
        <v>400000</v>
      </c>
      <c r="CK62" s="2212">
        <f>+'[4]Silnice stavba'!$B$5</f>
        <v>400000</v>
      </c>
      <c r="CL62" s="2212"/>
      <c r="CM62" s="2211"/>
      <c r="CN62" s="2211">
        <f t="shared" si="135"/>
        <v>0</v>
      </c>
      <c r="CO62" s="2212">
        <f>+[4]Vodovod!$B$5</f>
        <v>0</v>
      </c>
      <c r="CP62" s="2212"/>
      <c r="CQ62" s="2211"/>
      <c r="CR62" s="2212"/>
      <c r="CS62" s="2212"/>
      <c r="CT62" s="2211">
        <f t="shared" ref="CT62" si="145">+CU62+CV62</f>
        <v>0</v>
      </c>
      <c r="CU62" s="2212">
        <f>+[4]Kanalizace!$B$5</f>
        <v>0</v>
      </c>
      <c r="CV62" s="2212"/>
      <c r="CW62" s="2211"/>
      <c r="CX62" s="2212"/>
      <c r="CY62" s="2212"/>
      <c r="CZ62" s="2211">
        <f t="shared" si="136"/>
        <v>0</v>
      </c>
      <c r="DA62" s="2212">
        <f>+'[4]Inženýrské sítě'!$B$5</f>
        <v>0</v>
      </c>
      <c r="DB62" s="2212"/>
      <c r="DC62" s="2211"/>
      <c r="DD62" s="2211">
        <f t="shared" si="137"/>
        <v>0</v>
      </c>
      <c r="DE62" s="2212"/>
      <c r="DF62" s="2212"/>
      <c r="DG62" s="2211">
        <f t="shared" si="138"/>
        <v>0</v>
      </c>
      <c r="DH62" s="2212"/>
      <c r="DI62" s="2212"/>
      <c r="DJ62" s="2211">
        <f t="shared" si="139"/>
        <v>0</v>
      </c>
      <c r="DK62" s="2212"/>
      <c r="DL62" s="2212"/>
      <c r="DM62" s="2211"/>
      <c r="DN62" s="2211">
        <f t="shared" si="140"/>
        <v>100000</v>
      </c>
      <c r="DO62" s="2212">
        <f>+'[5]Příroda 3749'!$B$32</f>
        <v>100000</v>
      </c>
      <c r="DP62" s="2212"/>
      <c r="DQ62" s="2212"/>
      <c r="DR62" s="2211">
        <f>+'[5]Rybníky 3749-2'!$B$21</f>
        <v>60000</v>
      </c>
      <c r="DS62" s="2211"/>
      <c r="DT62" s="2211"/>
      <c r="DU62" s="2211"/>
      <c r="DV62" s="2211"/>
      <c r="DW62" s="2211"/>
      <c r="DX62" s="2211"/>
      <c r="DY62" s="2212">
        <f t="shared" ref="DY62:DY63" si="146">+DZ62+EA62</f>
        <v>0</v>
      </c>
      <c r="DZ62" s="2212"/>
      <c r="EA62" s="2212"/>
      <c r="EB62" s="2211"/>
      <c r="EC62" s="2211">
        <f>+[4]Cyklostezky!$B$5</f>
        <v>0</v>
      </c>
      <c r="ED62" s="2215"/>
      <c r="EE62" s="2206">
        <f t="shared" si="141"/>
        <v>2180000</v>
      </c>
      <c r="EF62" s="2165">
        <f t="shared" si="77"/>
        <v>0</v>
      </c>
      <c r="EG62" s="2166"/>
      <c r="EH62" s="2209">
        <f t="shared" si="142"/>
        <v>2180000</v>
      </c>
      <c r="EI62" s="2166">
        <f t="shared" si="7"/>
        <v>0</v>
      </c>
      <c r="EJ62" s="2209">
        <f t="shared" si="143"/>
        <v>0</v>
      </c>
      <c r="EL62" s="2208"/>
    </row>
    <row r="63" spans="1:142" outlineLevel="1">
      <c r="A63" s="2225">
        <v>6122</v>
      </c>
      <c r="B63" s="2198" t="s">
        <v>107</v>
      </c>
      <c r="C63" s="2209">
        <v>200000</v>
      </c>
      <c r="D63" s="2209">
        <v>570000</v>
      </c>
      <c r="E63" s="2209">
        <v>570000</v>
      </c>
      <c r="F63" s="2209">
        <v>570000</v>
      </c>
      <c r="G63" s="2209">
        <v>570000</v>
      </c>
      <c r="H63" s="2209">
        <v>720000</v>
      </c>
      <c r="I63" s="2209">
        <v>720000</v>
      </c>
      <c r="J63" s="2209">
        <v>950000</v>
      </c>
      <c r="K63" s="2209">
        <f t="shared" si="116"/>
        <v>662000</v>
      </c>
      <c r="L63" s="2210"/>
      <c r="M63" s="2211"/>
      <c r="N63" s="2211"/>
      <c r="O63" s="2211"/>
      <c r="P63" s="2211"/>
      <c r="Q63" s="2211"/>
      <c r="R63" s="2211"/>
      <c r="S63" s="2211"/>
      <c r="T63" s="2211">
        <f t="shared" si="117"/>
        <v>132000</v>
      </c>
      <c r="U63" s="2212">
        <f>+[2]Správa!$B$160</f>
        <v>132000</v>
      </c>
      <c r="V63" s="2213"/>
      <c r="W63" s="2211"/>
      <c r="X63" s="2227">
        <f t="shared" si="114"/>
        <v>0</v>
      </c>
      <c r="Y63" s="2211"/>
      <c r="Z63" s="2211"/>
      <c r="AA63" s="2211"/>
      <c r="AB63" s="2211"/>
      <c r="AC63" s="2211"/>
      <c r="AD63" s="2211"/>
      <c r="AE63" s="2211"/>
      <c r="AF63" s="2211"/>
      <c r="AG63" s="2211"/>
      <c r="AH63" s="2211"/>
      <c r="AI63" s="2211">
        <f t="shared" si="144"/>
        <v>105000</v>
      </c>
      <c r="AJ63" s="2212">
        <f>+[3]Byty!$B$44</f>
        <v>105000</v>
      </c>
      <c r="AK63" s="2212"/>
      <c r="AL63" s="2211">
        <f t="shared" si="119"/>
        <v>0</v>
      </c>
      <c r="AM63" s="2212"/>
      <c r="AN63" s="2212"/>
      <c r="AO63" s="2211">
        <f t="shared" si="120"/>
        <v>90000</v>
      </c>
      <c r="AP63" s="2212">
        <f>+[3]Nebyty!$D$22</f>
        <v>90000</v>
      </c>
      <c r="AQ63" s="2212">
        <f>+[3]Nebyty!$E$22</f>
        <v>0</v>
      </c>
      <c r="AR63" s="2211">
        <f>+[3]Hasiči!$B$40</f>
        <v>45000</v>
      </c>
      <c r="AS63" s="2211"/>
      <c r="AT63" s="2211"/>
      <c r="AU63" s="2211">
        <f t="shared" si="121"/>
        <v>0</v>
      </c>
      <c r="AV63" s="2212"/>
      <c r="AW63" s="2212"/>
      <c r="AX63" s="2211">
        <f t="shared" si="122"/>
        <v>0</v>
      </c>
      <c r="AY63" s="2212"/>
      <c r="AZ63" s="2212"/>
      <c r="BA63" s="2211">
        <f t="shared" si="123"/>
        <v>0</v>
      </c>
      <c r="BB63" s="2212"/>
      <c r="BC63" s="2212"/>
      <c r="BD63" s="2211">
        <f t="shared" si="124"/>
        <v>0</v>
      </c>
      <c r="BE63" s="2212"/>
      <c r="BF63" s="2212"/>
      <c r="BG63" s="2211">
        <f t="shared" si="125"/>
        <v>0</v>
      </c>
      <c r="BH63" s="2212"/>
      <c r="BI63" s="2212"/>
      <c r="BJ63" s="2211">
        <f t="shared" si="126"/>
        <v>0</v>
      </c>
      <c r="BK63" s="2212"/>
      <c r="BL63" s="2212"/>
      <c r="BM63" s="2211">
        <f t="shared" si="127"/>
        <v>0</v>
      </c>
      <c r="BN63" s="2212"/>
      <c r="BO63" s="2212"/>
      <c r="BP63" s="2211">
        <f t="shared" si="128"/>
        <v>0</v>
      </c>
      <c r="BQ63" s="2212"/>
      <c r="BR63" s="2212"/>
      <c r="BS63" s="2211">
        <f t="shared" si="129"/>
        <v>0</v>
      </c>
      <c r="BT63" s="2212"/>
      <c r="BU63" s="2212"/>
      <c r="BV63" s="2211">
        <f t="shared" si="130"/>
        <v>0</v>
      </c>
      <c r="BW63" s="2212"/>
      <c r="BX63" s="2212"/>
      <c r="BY63" s="2211">
        <f t="shared" si="131"/>
        <v>0</v>
      </c>
      <c r="BZ63" s="2212"/>
      <c r="CA63" s="2212"/>
      <c r="CB63" s="2211"/>
      <c r="CC63" s="2211">
        <f t="shared" si="132"/>
        <v>0</v>
      </c>
      <c r="CD63" s="2212"/>
      <c r="CE63" s="2212"/>
      <c r="CF63" s="2211"/>
      <c r="CG63" s="2211">
        <f t="shared" si="133"/>
        <v>0</v>
      </c>
      <c r="CH63" s="2212"/>
      <c r="CI63" s="2212"/>
      <c r="CJ63" s="2211">
        <f t="shared" si="134"/>
        <v>290000</v>
      </c>
      <c r="CK63" s="2212">
        <f>+[3]Silnice!$B$78</f>
        <v>290000</v>
      </c>
      <c r="CL63" s="2212">
        <f>+[3]Silnice!$E$67</f>
        <v>0</v>
      </c>
      <c r="CM63" s="2211"/>
      <c r="CN63" s="2211">
        <f t="shared" si="135"/>
        <v>0</v>
      </c>
      <c r="CO63" s="2212"/>
      <c r="CP63" s="2212"/>
      <c r="CQ63" s="2211"/>
      <c r="CR63" s="2212"/>
      <c r="CS63" s="2212"/>
      <c r="CT63" s="2211"/>
      <c r="CU63" s="2212"/>
      <c r="CV63" s="2212"/>
      <c r="CW63" s="2211"/>
      <c r="CX63" s="2212"/>
      <c r="CY63" s="2212"/>
      <c r="CZ63" s="2211">
        <f t="shared" si="136"/>
        <v>0</v>
      </c>
      <c r="DA63" s="2212"/>
      <c r="DB63" s="2212"/>
      <c r="DC63" s="2211"/>
      <c r="DD63" s="2211">
        <f t="shared" si="137"/>
        <v>0</v>
      </c>
      <c r="DE63" s="2212"/>
      <c r="DF63" s="2212"/>
      <c r="DG63" s="2211">
        <f t="shared" si="138"/>
        <v>0</v>
      </c>
      <c r="DH63" s="2212"/>
      <c r="DI63" s="2212"/>
      <c r="DJ63" s="2211">
        <f t="shared" si="139"/>
        <v>0</v>
      </c>
      <c r="DK63" s="2212"/>
      <c r="DL63" s="2212"/>
      <c r="DM63" s="2211"/>
      <c r="DN63" s="2211">
        <f t="shared" si="140"/>
        <v>0</v>
      </c>
      <c r="DO63" s="2212"/>
      <c r="DP63" s="2212"/>
      <c r="DQ63" s="2212"/>
      <c r="DR63" s="2211"/>
      <c r="DS63" s="2211"/>
      <c r="DT63" s="2211"/>
      <c r="DU63" s="2211"/>
      <c r="DV63" s="2211"/>
      <c r="DW63" s="2211"/>
      <c r="DX63" s="2211"/>
      <c r="DY63" s="2212">
        <f t="shared" si="146"/>
        <v>0</v>
      </c>
      <c r="DZ63" s="2212"/>
      <c r="EA63" s="2212"/>
      <c r="EB63" s="2211"/>
      <c r="EC63" s="2211"/>
      <c r="ED63" s="2215"/>
      <c r="EE63" s="2206">
        <f t="shared" si="141"/>
        <v>662000</v>
      </c>
      <c r="EF63" s="2165">
        <f t="shared" si="77"/>
        <v>0</v>
      </c>
      <c r="EG63" s="2166"/>
      <c r="EH63" s="2209">
        <f t="shared" si="142"/>
        <v>662000</v>
      </c>
      <c r="EI63" s="2166">
        <f t="shared" si="7"/>
        <v>0</v>
      </c>
      <c r="EJ63" s="2209">
        <f t="shared" si="143"/>
        <v>0</v>
      </c>
      <c r="EL63" s="2208"/>
    </row>
    <row r="64" spans="1:142" outlineLevel="1">
      <c r="A64" s="2225">
        <v>6123</v>
      </c>
      <c r="B64" s="2198" t="s">
        <v>108</v>
      </c>
      <c r="C64" s="2209">
        <v>0</v>
      </c>
      <c r="D64" s="2209">
        <v>1200000</v>
      </c>
      <c r="E64" s="2209">
        <v>1200000</v>
      </c>
      <c r="F64" s="2209">
        <v>1200000</v>
      </c>
      <c r="G64" s="2209">
        <v>1200000</v>
      </c>
      <c r="H64" s="2209">
        <v>1200000</v>
      </c>
      <c r="I64" s="2209">
        <v>1200000</v>
      </c>
      <c r="J64" s="2209">
        <v>1200000</v>
      </c>
      <c r="K64" s="2209">
        <f t="shared" si="116"/>
        <v>600000</v>
      </c>
      <c r="L64" s="2210"/>
      <c r="M64" s="2211"/>
      <c r="N64" s="2211"/>
      <c r="O64" s="2211"/>
      <c r="P64" s="2211"/>
      <c r="Q64" s="2211"/>
      <c r="R64" s="2211"/>
      <c r="S64" s="2211"/>
      <c r="T64" s="2265">
        <f t="shared" si="117"/>
        <v>0</v>
      </c>
      <c r="U64" s="2236">
        <f>+[3]Správa!$D$18+[2]Správa!$B$138</f>
        <v>0</v>
      </c>
      <c r="V64" s="2266">
        <f>+[3]Správa!$E$18</f>
        <v>0</v>
      </c>
      <c r="W64" s="2211"/>
      <c r="X64" s="2227">
        <f t="shared" si="114"/>
        <v>0</v>
      </c>
      <c r="Y64" s="2211"/>
      <c r="Z64" s="2211"/>
      <c r="AA64" s="2211"/>
      <c r="AB64" s="2211">
        <f>+'[2]Městská policie'!$B$155</f>
        <v>600000</v>
      </c>
      <c r="AC64" s="2211"/>
      <c r="AD64" s="2211"/>
      <c r="AE64" s="2211"/>
      <c r="AF64" s="2211"/>
      <c r="AG64" s="2211"/>
      <c r="AH64" s="2211"/>
      <c r="AI64" s="2211">
        <f t="shared" si="118"/>
        <v>0</v>
      </c>
      <c r="AJ64" s="2212"/>
      <c r="AK64" s="2212"/>
      <c r="AL64" s="2211">
        <f t="shared" si="119"/>
        <v>0</v>
      </c>
      <c r="AM64" s="2212"/>
      <c r="AN64" s="2212"/>
      <c r="AO64" s="2211">
        <f t="shared" si="120"/>
        <v>0</v>
      </c>
      <c r="AP64" s="2212"/>
      <c r="AQ64" s="2212"/>
      <c r="AR64" s="2211">
        <f>[2]Hasiči!$B$82</f>
        <v>0</v>
      </c>
      <c r="AS64" s="2211"/>
      <c r="AT64" s="2211"/>
      <c r="AU64" s="2211">
        <f t="shared" si="121"/>
        <v>0</v>
      </c>
      <c r="AV64" s="2212"/>
      <c r="AW64" s="2212"/>
      <c r="AX64" s="2211">
        <f t="shared" si="122"/>
        <v>0</v>
      </c>
      <c r="AY64" s="2212"/>
      <c r="AZ64" s="2212"/>
      <c r="BA64" s="2211">
        <f t="shared" si="123"/>
        <v>0</v>
      </c>
      <c r="BB64" s="2212"/>
      <c r="BC64" s="2212"/>
      <c r="BD64" s="2211">
        <f t="shared" si="124"/>
        <v>0</v>
      </c>
      <c r="BE64" s="2212"/>
      <c r="BF64" s="2212"/>
      <c r="BG64" s="2211">
        <f t="shared" si="125"/>
        <v>0</v>
      </c>
      <c r="BH64" s="2212"/>
      <c r="BI64" s="2212"/>
      <c r="BJ64" s="2211">
        <f t="shared" si="126"/>
        <v>0</v>
      </c>
      <c r="BK64" s="2212"/>
      <c r="BL64" s="2212"/>
      <c r="BM64" s="2211">
        <f t="shared" si="127"/>
        <v>0</v>
      </c>
      <c r="BN64" s="2212"/>
      <c r="BO64" s="2212"/>
      <c r="BP64" s="2211">
        <f t="shared" si="128"/>
        <v>0</v>
      </c>
      <c r="BQ64" s="2212"/>
      <c r="BR64" s="2212"/>
      <c r="BS64" s="2211">
        <f t="shared" si="129"/>
        <v>0</v>
      </c>
      <c r="BT64" s="2212"/>
      <c r="BU64" s="2212"/>
      <c r="BV64" s="2211">
        <f t="shared" si="130"/>
        <v>0</v>
      </c>
      <c r="BW64" s="2212"/>
      <c r="BX64" s="2212"/>
      <c r="BY64" s="2211">
        <f t="shared" si="131"/>
        <v>0</v>
      </c>
      <c r="BZ64" s="2212"/>
      <c r="CA64" s="2212"/>
      <c r="CB64" s="2211"/>
      <c r="CC64" s="2211">
        <f t="shared" si="132"/>
        <v>0</v>
      </c>
      <c r="CD64" s="2212"/>
      <c r="CE64" s="2212"/>
      <c r="CF64" s="2211"/>
      <c r="CG64" s="2211">
        <f t="shared" si="133"/>
        <v>0</v>
      </c>
      <c r="CH64" s="2212"/>
      <c r="CI64" s="2212"/>
      <c r="CJ64" s="2211">
        <f t="shared" si="134"/>
        <v>0</v>
      </c>
      <c r="CK64" s="2212"/>
      <c r="CL64" s="2212"/>
      <c r="CM64" s="2211"/>
      <c r="CN64" s="2211">
        <f t="shared" si="135"/>
        <v>0</v>
      </c>
      <c r="CO64" s="2212"/>
      <c r="CP64" s="2212"/>
      <c r="CQ64" s="2211"/>
      <c r="CR64" s="2212"/>
      <c r="CS64" s="2212"/>
      <c r="CT64" s="2211"/>
      <c r="CU64" s="2212"/>
      <c r="CV64" s="2212"/>
      <c r="CW64" s="2211"/>
      <c r="CX64" s="2212"/>
      <c r="CY64" s="2212"/>
      <c r="CZ64" s="2211">
        <f t="shared" si="136"/>
        <v>0</v>
      </c>
      <c r="DA64" s="2212"/>
      <c r="DB64" s="2212"/>
      <c r="DC64" s="2211"/>
      <c r="DD64" s="2211">
        <f t="shared" si="137"/>
        <v>0</v>
      </c>
      <c r="DE64" s="2212"/>
      <c r="DF64" s="2212"/>
      <c r="DG64" s="2211">
        <f t="shared" si="138"/>
        <v>0</v>
      </c>
      <c r="DH64" s="2212"/>
      <c r="DI64" s="2212"/>
      <c r="DJ64" s="2211">
        <f t="shared" si="139"/>
        <v>0</v>
      </c>
      <c r="DK64" s="2212"/>
      <c r="DL64" s="2212"/>
      <c r="DM64" s="2211"/>
      <c r="DN64" s="2211">
        <f t="shared" si="140"/>
        <v>0</v>
      </c>
      <c r="DO64" s="2212"/>
      <c r="DP64" s="2212"/>
      <c r="DQ64" s="2212"/>
      <c r="DR64" s="2211"/>
      <c r="DS64" s="2211"/>
      <c r="DT64" s="2211"/>
      <c r="DU64" s="2211"/>
      <c r="DV64" s="2211"/>
      <c r="DW64" s="2211"/>
      <c r="DX64" s="2211"/>
      <c r="DY64" s="2211"/>
      <c r="DZ64" s="2212"/>
      <c r="EA64" s="2212"/>
      <c r="EB64" s="2211"/>
      <c r="EC64" s="2211"/>
      <c r="ED64" s="2215"/>
      <c r="EE64" s="2206">
        <f t="shared" si="141"/>
        <v>600000</v>
      </c>
      <c r="EF64" s="2165">
        <f t="shared" si="77"/>
        <v>0</v>
      </c>
      <c r="EG64" s="2166"/>
      <c r="EH64" s="2209">
        <f t="shared" si="142"/>
        <v>600000</v>
      </c>
      <c r="EI64" s="2166">
        <f t="shared" si="7"/>
        <v>0</v>
      </c>
      <c r="EJ64" s="2209">
        <f t="shared" si="143"/>
        <v>0</v>
      </c>
      <c r="EL64" s="2208"/>
    </row>
    <row r="65" spans="1:142" outlineLevel="1">
      <c r="A65" s="2225">
        <v>6125</v>
      </c>
      <c r="B65" s="2198" t="s">
        <v>109</v>
      </c>
      <c r="C65" s="2209">
        <v>240000</v>
      </c>
      <c r="D65" s="2209">
        <v>4736152</v>
      </c>
      <c r="E65" s="2209">
        <v>4736152</v>
      </c>
      <c r="F65" s="2209">
        <v>4736152</v>
      </c>
      <c r="G65" s="2209">
        <v>4736152</v>
      </c>
      <c r="H65" s="2209">
        <v>4736152</v>
      </c>
      <c r="I65" s="2209">
        <v>4736152</v>
      </c>
      <c r="J65" s="2209">
        <v>4736152</v>
      </c>
      <c r="K65" s="2209">
        <f t="shared" si="116"/>
        <v>4300000</v>
      </c>
      <c r="L65" s="2210"/>
      <c r="M65" s="2211"/>
      <c r="N65" s="2211"/>
      <c r="O65" s="2211"/>
      <c r="P65" s="2211"/>
      <c r="Q65" s="2211"/>
      <c r="R65" s="2212"/>
      <c r="S65" s="2211"/>
      <c r="T65" s="2211">
        <f t="shared" si="117"/>
        <v>4300000</v>
      </c>
      <c r="U65" s="2212">
        <f>+[2]Správa!$B$145</f>
        <v>4300000</v>
      </c>
      <c r="V65" s="2213"/>
      <c r="W65" s="2211"/>
      <c r="X65" s="2227">
        <f t="shared" si="114"/>
        <v>0</v>
      </c>
      <c r="Y65" s="2211"/>
      <c r="Z65" s="2211"/>
      <c r="AA65" s="2211"/>
      <c r="AB65" s="2211">
        <f>+'[2]Městská policie'!$B$162</f>
        <v>0</v>
      </c>
      <c r="AC65" s="2211"/>
      <c r="AD65" s="2211"/>
      <c r="AE65" s="2211"/>
      <c r="AF65" s="2211"/>
      <c r="AG65" s="2211"/>
      <c r="AH65" s="2211"/>
      <c r="AI65" s="2211">
        <f t="shared" si="118"/>
        <v>0</v>
      </c>
      <c r="AJ65" s="2212"/>
      <c r="AK65" s="2212"/>
      <c r="AL65" s="2211">
        <f t="shared" si="119"/>
        <v>0</v>
      </c>
      <c r="AM65" s="2212"/>
      <c r="AN65" s="2212"/>
      <c r="AO65" s="2211">
        <f t="shared" si="120"/>
        <v>0</v>
      </c>
      <c r="AP65" s="2212"/>
      <c r="AQ65" s="2212"/>
      <c r="AR65" s="2211"/>
      <c r="AS65" s="2211"/>
      <c r="AT65" s="2211"/>
      <c r="AU65" s="2211">
        <f t="shared" si="121"/>
        <v>0</v>
      </c>
      <c r="AV65" s="2212"/>
      <c r="AW65" s="2212"/>
      <c r="AX65" s="2211">
        <f t="shared" si="122"/>
        <v>0</v>
      </c>
      <c r="AY65" s="2212"/>
      <c r="AZ65" s="2212"/>
      <c r="BA65" s="2211">
        <f t="shared" si="123"/>
        <v>0</v>
      </c>
      <c r="BB65" s="2212"/>
      <c r="BC65" s="2212"/>
      <c r="BD65" s="2211">
        <f t="shared" si="124"/>
        <v>0</v>
      </c>
      <c r="BE65" s="2212"/>
      <c r="BF65" s="2212"/>
      <c r="BG65" s="2211">
        <f t="shared" si="125"/>
        <v>0</v>
      </c>
      <c r="BH65" s="2212"/>
      <c r="BI65" s="2212"/>
      <c r="BJ65" s="2211">
        <f t="shared" si="126"/>
        <v>0</v>
      </c>
      <c r="BK65" s="2212"/>
      <c r="BL65" s="2212"/>
      <c r="BM65" s="2211">
        <f t="shared" si="127"/>
        <v>0</v>
      </c>
      <c r="BN65" s="2212"/>
      <c r="BO65" s="2212"/>
      <c r="BP65" s="2211">
        <f t="shared" si="128"/>
        <v>0</v>
      </c>
      <c r="BQ65" s="2212"/>
      <c r="BR65" s="2212"/>
      <c r="BS65" s="2211">
        <f t="shared" si="129"/>
        <v>0</v>
      </c>
      <c r="BT65" s="2212"/>
      <c r="BU65" s="2212"/>
      <c r="BV65" s="2211">
        <f t="shared" si="130"/>
        <v>0</v>
      </c>
      <c r="BW65" s="2212"/>
      <c r="BX65" s="2212"/>
      <c r="BY65" s="2211">
        <f t="shared" si="131"/>
        <v>0</v>
      </c>
      <c r="BZ65" s="2212"/>
      <c r="CA65" s="2212"/>
      <c r="CB65" s="2211"/>
      <c r="CC65" s="2211">
        <f t="shared" si="132"/>
        <v>0</v>
      </c>
      <c r="CD65" s="2212"/>
      <c r="CE65" s="2212"/>
      <c r="CF65" s="2211"/>
      <c r="CG65" s="2211">
        <f t="shared" si="133"/>
        <v>0</v>
      </c>
      <c r="CH65" s="2212"/>
      <c r="CI65" s="2212"/>
      <c r="CJ65" s="2211">
        <f t="shared" si="134"/>
        <v>0</v>
      </c>
      <c r="CK65" s="2212"/>
      <c r="CL65" s="2212"/>
      <c r="CM65" s="2211"/>
      <c r="CN65" s="2211">
        <f t="shared" si="135"/>
        <v>0</v>
      </c>
      <c r="CO65" s="2212"/>
      <c r="CP65" s="2212"/>
      <c r="CQ65" s="2211"/>
      <c r="CR65" s="2212"/>
      <c r="CS65" s="2212"/>
      <c r="CT65" s="2211"/>
      <c r="CU65" s="2212"/>
      <c r="CV65" s="2212"/>
      <c r="CW65" s="2211"/>
      <c r="CX65" s="2212"/>
      <c r="CY65" s="2212"/>
      <c r="CZ65" s="2211">
        <f t="shared" si="136"/>
        <v>0</v>
      </c>
      <c r="DA65" s="2212"/>
      <c r="DB65" s="2212"/>
      <c r="DC65" s="2211"/>
      <c r="DD65" s="2211">
        <f t="shared" si="137"/>
        <v>0</v>
      </c>
      <c r="DE65" s="2212"/>
      <c r="DF65" s="2212"/>
      <c r="DG65" s="2211">
        <f t="shared" si="138"/>
        <v>0</v>
      </c>
      <c r="DH65" s="2212"/>
      <c r="DI65" s="2212"/>
      <c r="DJ65" s="2211">
        <f t="shared" si="139"/>
        <v>0</v>
      </c>
      <c r="DK65" s="2212"/>
      <c r="DL65" s="2212"/>
      <c r="DM65" s="2211"/>
      <c r="DN65" s="2211">
        <f t="shared" si="140"/>
        <v>0</v>
      </c>
      <c r="DO65" s="2212"/>
      <c r="DP65" s="2212"/>
      <c r="DQ65" s="2212"/>
      <c r="DR65" s="2211"/>
      <c r="DS65" s="2211"/>
      <c r="DT65" s="2211"/>
      <c r="DU65" s="2211"/>
      <c r="DV65" s="2211"/>
      <c r="DW65" s="2211"/>
      <c r="DX65" s="2211"/>
      <c r="DY65" s="2211"/>
      <c r="DZ65" s="2212"/>
      <c r="EA65" s="2212"/>
      <c r="EB65" s="2211"/>
      <c r="EC65" s="2211"/>
      <c r="ED65" s="2215"/>
      <c r="EE65" s="2206">
        <f t="shared" si="141"/>
        <v>4300000</v>
      </c>
      <c r="EF65" s="2165">
        <f t="shared" si="77"/>
        <v>0</v>
      </c>
      <c r="EG65" s="2166"/>
      <c r="EH65" s="2209">
        <f t="shared" si="142"/>
        <v>4300000</v>
      </c>
      <c r="EI65" s="2166">
        <f t="shared" si="7"/>
        <v>0</v>
      </c>
      <c r="EJ65" s="2209">
        <f t="shared" si="143"/>
        <v>0</v>
      </c>
      <c r="EL65" s="2208"/>
    </row>
    <row r="66" spans="1:142" outlineLevel="1">
      <c r="A66" s="2225">
        <v>6129</v>
      </c>
      <c r="B66" s="2198" t="s">
        <v>110</v>
      </c>
      <c r="C66" s="2209">
        <v>0</v>
      </c>
      <c r="D66" s="2209">
        <v>0</v>
      </c>
      <c r="E66" s="2209">
        <v>0</v>
      </c>
      <c r="F66" s="2209">
        <v>0</v>
      </c>
      <c r="G66" s="2209">
        <v>0</v>
      </c>
      <c r="H66" s="2209">
        <v>0</v>
      </c>
      <c r="I66" s="2209">
        <v>0</v>
      </c>
      <c r="J66" s="2209">
        <v>0</v>
      </c>
      <c r="K66" s="2209">
        <f t="shared" si="116"/>
        <v>0</v>
      </c>
      <c r="L66" s="2210"/>
      <c r="M66" s="2211"/>
      <c r="N66" s="2211"/>
      <c r="O66" s="2211"/>
      <c r="P66" s="2211"/>
      <c r="Q66" s="2211"/>
      <c r="R66" s="2211"/>
      <c r="S66" s="2211"/>
      <c r="T66" s="2211">
        <f t="shared" si="117"/>
        <v>0</v>
      </c>
      <c r="U66" s="2212"/>
      <c r="V66" s="2213"/>
      <c r="W66" s="2211"/>
      <c r="X66" s="2227">
        <f t="shared" si="114"/>
        <v>0</v>
      </c>
      <c r="Y66" s="2211"/>
      <c r="Z66" s="2211"/>
      <c r="AA66" s="2211"/>
      <c r="AB66" s="2211"/>
      <c r="AC66" s="2211"/>
      <c r="AD66" s="2211"/>
      <c r="AE66" s="2211"/>
      <c r="AF66" s="2211"/>
      <c r="AG66" s="2211"/>
      <c r="AH66" s="2211"/>
      <c r="AI66" s="2211">
        <f t="shared" si="118"/>
        <v>0</v>
      </c>
      <c r="AJ66" s="2212"/>
      <c r="AK66" s="2212"/>
      <c r="AL66" s="2211">
        <f t="shared" si="119"/>
        <v>0</v>
      </c>
      <c r="AM66" s="2212"/>
      <c r="AN66" s="2212"/>
      <c r="AO66" s="2211">
        <f t="shared" si="120"/>
        <v>0</v>
      </c>
      <c r="AP66" s="2212"/>
      <c r="AQ66" s="2212"/>
      <c r="AR66" s="2211"/>
      <c r="AS66" s="2211"/>
      <c r="AT66" s="2211"/>
      <c r="AU66" s="2211">
        <f t="shared" si="121"/>
        <v>0</v>
      </c>
      <c r="AV66" s="2212"/>
      <c r="AW66" s="2212"/>
      <c r="AX66" s="2211">
        <f t="shared" si="122"/>
        <v>0</v>
      </c>
      <c r="AY66" s="2212"/>
      <c r="AZ66" s="2212"/>
      <c r="BA66" s="2211">
        <f t="shared" si="123"/>
        <v>0</v>
      </c>
      <c r="BB66" s="2212"/>
      <c r="BC66" s="2212"/>
      <c r="BD66" s="2211">
        <f t="shared" si="124"/>
        <v>0</v>
      </c>
      <c r="BE66" s="2212"/>
      <c r="BF66" s="2212"/>
      <c r="BG66" s="2211">
        <f t="shared" si="125"/>
        <v>0</v>
      </c>
      <c r="BH66" s="2212"/>
      <c r="BI66" s="2212"/>
      <c r="BJ66" s="2211">
        <f t="shared" si="126"/>
        <v>0</v>
      </c>
      <c r="BK66" s="2212"/>
      <c r="BL66" s="2212"/>
      <c r="BM66" s="2211">
        <f t="shared" si="127"/>
        <v>0</v>
      </c>
      <c r="BN66" s="2212"/>
      <c r="BO66" s="2212"/>
      <c r="BP66" s="2211">
        <f t="shared" si="128"/>
        <v>0</v>
      </c>
      <c r="BQ66" s="2212"/>
      <c r="BR66" s="2212"/>
      <c r="BS66" s="2211">
        <f t="shared" si="129"/>
        <v>0</v>
      </c>
      <c r="BT66" s="2212"/>
      <c r="BU66" s="2212"/>
      <c r="BV66" s="2211">
        <f t="shared" si="130"/>
        <v>0</v>
      </c>
      <c r="BW66" s="2212"/>
      <c r="BX66" s="2212"/>
      <c r="BY66" s="2211">
        <f t="shared" si="131"/>
        <v>0</v>
      </c>
      <c r="BZ66" s="2212"/>
      <c r="CA66" s="2212"/>
      <c r="CB66" s="2211"/>
      <c r="CC66" s="2211">
        <f t="shared" si="132"/>
        <v>0</v>
      </c>
      <c r="CD66" s="2212"/>
      <c r="CE66" s="2212"/>
      <c r="CF66" s="2211"/>
      <c r="CG66" s="2211">
        <f t="shared" si="133"/>
        <v>0</v>
      </c>
      <c r="CH66" s="2212"/>
      <c r="CI66" s="2212"/>
      <c r="CJ66" s="2211">
        <f t="shared" si="134"/>
        <v>0</v>
      </c>
      <c r="CK66" s="2212"/>
      <c r="CL66" s="2212"/>
      <c r="CM66" s="2211"/>
      <c r="CN66" s="2211">
        <f t="shared" si="135"/>
        <v>0</v>
      </c>
      <c r="CO66" s="2212"/>
      <c r="CP66" s="2212"/>
      <c r="CQ66" s="2211"/>
      <c r="CR66" s="2212"/>
      <c r="CS66" s="2212"/>
      <c r="CT66" s="2211"/>
      <c r="CU66" s="2212"/>
      <c r="CV66" s="2212"/>
      <c r="CW66" s="2211"/>
      <c r="CX66" s="2212"/>
      <c r="CY66" s="2212"/>
      <c r="CZ66" s="2211">
        <f t="shared" si="136"/>
        <v>0</v>
      </c>
      <c r="DA66" s="2212"/>
      <c r="DB66" s="2212"/>
      <c r="DC66" s="2211"/>
      <c r="DD66" s="2211">
        <f t="shared" si="137"/>
        <v>0</v>
      </c>
      <c r="DE66" s="2212"/>
      <c r="DF66" s="2212"/>
      <c r="DG66" s="2211">
        <f t="shared" si="138"/>
        <v>0</v>
      </c>
      <c r="DH66" s="2212"/>
      <c r="DI66" s="2212"/>
      <c r="DJ66" s="2211">
        <f t="shared" si="139"/>
        <v>0</v>
      </c>
      <c r="DK66" s="2212"/>
      <c r="DL66" s="2212"/>
      <c r="DM66" s="2211"/>
      <c r="DN66" s="2211">
        <f t="shared" si="140"/>
        <v>0</v>
      </c>
      <c r="DO66" s="2212"/>
      <c r="DP66" s="2212"/>
      <c r="DQ66" s="2212"/>
      <c r="DR66" s="2211"/>
      <c r="DS66" s="2211"/>
      <c r="DT66" s="2211"/>
      <c r="DU66" s="2211"/>
      <c r="DV66" s="2211"/>
      <c r="DW66" s="2211"/>
      <c r="DX66" s="2211"/>
      <c r="DY66" s="2211"/>
      <c r="DZ66" s="2212"/>
      <c r="EA66" s="2212"/>
      <c r="EB66" s="2211"/>
      <c r="EC66" s="2211"/>
      <c r="ED66" s="2215"/>
      <c r="EE66" s="2206">
        <f t="shared" si="141"/>
        <v>0</v>
      </c>
      <c r="EF66" s="2165">
        <f t="shared" si="77"/>
        <v>0</v>
      </c>
      <c r="EG66" s="2166"/>
      <c r="EH66" s="2209">
        <f t="shared" si="142"/>
        <v>0</v>
      </c>
      <c r="EI66" s="2166">
        <f t="shared" si="7"/>
        <v>0</v>
      </c>
      <c r="EJ66" s="2209">
        <f t="shared" si="143"/>
        <v>0</v>
      </c>
      <c r="EL66" s="2208"/>
    </row>
    <row r="67" spans="1:142" ht="18" customHeight="1" outlineLevel="1">
      <c r="A67" s="2225">
        <v>6130</v>
      </c>
      <c r="B67" s="2198" t="s">
        <v>111</v>
      </c>
      <c r="C67" s="2209">
        <v>2215000</v>
      </c>
      <c r="D67" s="2209">
        <v>5000000</v>
      </c>
      <c r="E67" s="2209">
        <v>5000000</v>
      </c>
      <c r="F67" s="2209">
        <v>6300000</v>
      </c>
      <c r="G67" s="2209">
        <v>6300000</v>
      </c>
      <c r="H67" s="2209">
        <v>6300000</v>
      </c>
      <c r="I67" s="2209">
        <v>6300000</v>
      </c>
      <c r="J67" s="2209">
        <v>6300000</v>
      </c>
      <c r="K67" s="2209">
        <f t="shared" si="116"/>
        <v>6366000</v>
      </c>
      <c r="L67" s="2210"/>
      <c r="M67" s="2211"/>
      <c r="N67" s="2211"/>
      <c r="O67" s="2211"/>
      <c r="P67" s="2211">
        <f>+'[3]Všeob. pokladna'!$B$53</f>
        <v>6366000</v>
      </c>
      <c r="Q67" s="2211"/>
      <c r="R67" s="2211"/>
      <c r="S67" s="2211"/>
      <c r="T67" s="2211">
        <f t="shared" si="117"/>
        <v>0</v>
      </c>
      <c r="U67" s="2212"/>
      <c r="V67" s="2213"/>
      <c r="W67" s="2211"/>
      <c r="X67" s="2227">
        <f t="shared" si="114"/>
        <v>0</v>
      </c>
      <c r="Y67" s="2211"/>
      <c r="Z67" s="2211"/>
      <c r="AA67" s="2211"/>
      <c r="AB67" s="2211"/>
      <c r="AC67" s="2211"/>
      <c r="AD67" s="2211"/>
      <c r="AE67" s="2211"/>
      <c r="AF67" s="2211"/>
      <c r="AG67" s="2211"/>
      <c r="AH67" s="2211"/>
      <c r="AI67" s="2211">
        <f t="shared" si="118"/>
        <v>0</v>
      </c>
      <c r="AJ67" s="2212"/>
      <c r="AK67" s="2212"/>
      <c r="AL67" s="2211">
        <f t="shared" si="119"/>
        <v>0</v>
      </c>
      <c r="AM67" s="2212"/>
      <c r="AN67" s="2212"/>
      <c r="AO67" s="2211">
        <f t="shared" si="120"/>
        <v>0</v>
      </c>
      <c r="AP67" s="2212"/>
      <c r="AQ67" s="2212"/>
      <c r="AR67" s="2211"/>
      <c r="AS67" s="2211"/>
      <c r="AT67" s="2211"/>
      <c r="AU67" s="2211">
        <f t="shared" si="121"/>
        <v>0</v>
      </c>
      <c r="AV67" s="2212"/>
      <c r="AW67" s="2212"/>
      <c r="AX67" s="2211">
        <f t="shared" si="122"/>
        <v>0</v>
      </c>
      <c r="AY67" s="2212"/>
      <c r="AZ67" s="2212"/>
      <c r="BA67" s="2211">
        <f t="shared" si="123"/>
        <v>0</v>
      </c>
      <c r="BB67" s="2212"/>
      <c r="BC67" s="2212"/>
      <c r="BD67" s="2211">
        <f t="shared" si="124"/>
        <v>0</v>
      </c>
      <c r="BE67" s="2212"/>
      <c r="BF67" s="2212"/>
      <c r="BG67" s="2211">
        <f t="shared" si="125"/>
        <v>0</v>
      </c>
      <c r="BH67" s="2212"/>
      <c r="BI67" s="2212"/>
      <c r="BJ67" s="2211">
        <f t="shared" si="126"/>
        <v>0</v>
      </c>
      <c r="BK67" s="2212">
        <f>+[3]Sv.Š!$D$46</f>
        <v>0</v>
      </c>
      <c r="BL67" s="2212">
        <f>+[3]Sv.Š!$E$46</f>
        <v>0</v>
      </c>
      <c r="BM67" s="2211">
        <f t="shared" si="127"/>
        <v>0</v>
      </c>
      <c r="BN67" s="2212"/>
      <c r="BO67" s="2212"/>
      <c r="BP67" s="2211">
        <f t="shared" si="128"/>
        <v>0</v>
      </c>
      <c r="BQ67" s="2212"/>
      <c r="BR67" s="2212"/>
      <c r="BS67" s="2211">
        <f t="shared" si="129"/>
        <v>0</v>
      </c>
      <c r="BT67" s="2212"/>
      <c r="BU67" s="2212"/>
      <c r="BV67" s="2211">
        <f t="shared" si="130"/>
        <v>0</v>
      </c>
      <c r="BW67" s="2212"/>
      <c r="BX67" s="2212"/>
      <c r="BY67" s="2211">
        <f t="shared" si="131"/>
        <v>0</v>
      </c>
      <c r="BZ67" s="2212"/>
      <c r="CA67" s="2212"/>
      <c r="CB67" s="2211"/>
      <c r="CC67" s="2211">
        <f t="shared" si="132"/>
        <v>0</v>
      </c>
      <c r="CD67" s="2212"/>
      <c r="CE67" s="2212"/>
      <c r="CF67" s="2211"/>
      <c r="CG67" s="2211">
        <f t="shared" si="133"/>
        <v>0</v>
      </c>
      <c r="CH67" s="2212"/>
      <c r="CI67" s="2212"/>
      <c r="CJ67" s="2211">
        <f t="shared" si="134"/>
        <v>0</v>
      </c>
      <c r="CK67" s="2212">
        <f>+'[4]Silnice - pozemky'!$B$4</f>
        <v>0</v>
      </c>
      <c r="CL67" s="2212"/>
      <c r="CM67" s="2211"/>
      <c r="CN67" s="2211">
        <f t="shared" si="135"/>
        <v>0</v>
      </c>
      <c r="CO67" s="2212"/>
      <c r="CP67" s="2212"/>
      <c r="CQ67" s="2211"/>
      <c r="CR67" s="2212"/>
      <c r="CS67" s="2212"/>
      <c r="CT67" s="2211"/>
      <c r="CU67" s="2212"/>
      <c r="CV67" s="2212"/>
      <c r="CW67" s="2211"/>
      <c r="CX67" s="2212"/>
      <c r="CY67" s="2212"/>
      <c r="CZ67" s="2211">
        <f t="shared" si="136"/>
        <v>0</v>
      </c>
      <c r="DA67" s="2212"/>
      <c r="DB67" s="2212"/>
      <c r="DC67" s="2211"/>
      <c r="DD67" s="2211">
        <f t="shared" si="137"/>
        <v>0</v>
      </c>
      <c r="DE67" s="2212"/>
      <c r="DF67" s="2212"/>
      <c r="DG67" s="2211">
        <f t="shared" si="138"/>
        <v>0</v>
      </c>
      <c r="DH67" s="2212"/>
      <c r="DI67" s="2212"/>
      <c r="DJ67" s="2211">
        <f t="shared" si="139"/>
        <v>0</v>
      </c>
      <c r="DK67" s="2212"/>
      <c r="DL67" s="2212"/>
      <c r="DM67" s="2211"/>
      <c r="DN67" s="2211">
        <f t="shared" si="140"/>
        <v>0</v>
      </c>
      <c r="DO67" s="2212"/>
      <c r="DP67" s="2212"/>
      <c r="DQ67" s="2212"/>
      <c r="DR67" s="2211"/>
      <c r="DS67" s="2211"/>
      <c r="DT67" s="2211"/>
      <c r="DU67" s="2211"/>
      <c r="DV67" s="2211"/>
      <c r="DW67" s="2211"/>
      <c r="DX67" s="2211"/>
      <c r="DY67" s="2211"/>
      <c r="DZ67" s="2212"/>
      <c r="EA67" s="2212"/>
      <c r="EB67" s="2211"/>
      <c r="EC67" s="2211"/>
      <c r="ED67" s="2215"/>
      <c r="EE67" s="2206">
        <f t="shared" si="141"/>
        <v>6366000</v>
      </c>
      <c r="EF67" s="2165">
        <f t="shared" si="77"/>
        <v>0</v>
      </c>
      <c r="EG67" s="2166"/>
      <c r="EH67" s="2209">
        <f t="shared" si="142"/>
        <v>6366000</v>
      </c>
      <c r="EI67" s="2166">
        <f t="shared" si="7"/>
        <v>0</v>
      </c>
      <c r="EJ67" s="2209">
        <f t="shared" si="143"/>
        <v>0</v>
      </c>
      <c r="EL67" s="2208"/>
    </row>
    <row r="68" spans="1:142" ht="18" customHeight="1" outlineLevel="1">
      <c r="A68" s="2225">
        <v>6349</v>
      </c>
      <c r="B68" s="2198" t="s">
        <v>1638</v>
      </c>
      <c r="C68" s="2209">
        <v>0</v>
      </c>
      <c r="D68" s="2209">
        <v>29400000</v>
      </c>
      <c r="E68" s="2209">
        <v>29400000</v>
      </c>
      <c r="F68" s="2209">
        <v>29400000</v>
      </c>
      <c r="G68" s="2209">
        <v>23550000</v>
      </c>
      <c r="H68" s="2209">
        <v>23600000</v>
      </c>
      <c r="I68" s="2209">
        <v>23600000</v>
      </c>
      <c r="J68" s="2209">
        <v>3435957</v>
      </c>
      <c r="K68" s="2209">
        <f>SUM(L68:T68)+SUM(Y68:AI68)+AL68+AO68+SUM(AR68:AU68)+AX68+BG68+BM68+BP68+BS68+BV68+BY68+CB68+CC68+CF68+CG68+CJ68+SUM(CM68:CN68)+CW68+CZ68+DC68+DD68+DG68+DJ68+DM68+DN68+SUM(DR68:DY68)+CQ68+CT68+SUM(EB68:ED68)+W68+BA68+BD68+BJ68</f>
        <v>5761000</v>
      </c>
      <c r="L68" s="2210"/>
      <c r="M68" s="2211"/>
      <c r="N68" s="2211"/>
      <c r="O68" s="2211"/>
      <c r="P68" s="2267">
        <f>+'[7]Všebecná pokladna'!$B$85</f>
        <v>0</v>
      </c>
      <c r="Q68" s="2211"/>
      <c r="R68" s="2211"/>
      <c r="S68" s="2211"/>
      <c r="T68" s="2211"/>
      <c r="U68" s="2212"/>
      <c r="V68" s="2213"/>
      <c r="W68" s="2211"/>
      <c r="X68" s="2227"/>
      <c r="Y68" s="2211"/>
      <c r="Z68" s="2211"/>
      <c r="AA68" s="2211"/>
      <c r="AB68" s="2211"/>
      <c r="AC68" s="2211"/>
      <c r="AD68" s="2211"/>
      <c r="AE68" s="2211"/>
      <c r="AF68" s="2211"/>
      <c r="AG68" s="2211"/>
      <c r="AH68" s="2211"/>
      <c r="AI68" s="2211"/>
      <c r="AJ68" s="2212"/>
      <c r="AK68" s="2212"/>
      <c r="AL68" s="2211">
        <f t="shared" si="119"/>
        <v>0</v>
      </c>
      <c r="AM68" s="2212"/>
      <c r="AN68" s="2212"/>
      <c r="AO68" s="2211">
        <f t="shared" si="120"/>
        <v>0</v>
      </c>
      <c r="AP68" s="2212"/>
      <c r="AQ68" s="2212"/>
      <c r="AR68" s="2211"/>
      <c r="AS68" s="2211"/>
      <c r="AT68" s="2211"/>
      <c r="AU68" s="2211"/>
      <c r="AV68" s="2212"/>
      <c r="AW68" s="2212"/>
      <c r="AX68" s="2211"/>
      <c r="AY68" s="2212"/>
      <c r="AZ68" s="2212"/>
      <c r="BA68" s="2211"/>
      <c r="BB68" s="2212"/>
      <c r="BC68" s="2212"/>
      <c r="BD68" s="2211"/>
      <c r="BE68" s="2212"/>
      <c r="BF68" s="2212"/>
      <c r="BG68" s="2211">
        <f t="shared" si="125"/>
        <v>5761000</v>
      </c>
      <c r="BH68" s="2272">
        <f>+[7]ZŠ!$B$39</f>
        <v>5761000</v>
      </c>
      <c r="BI68" s="2212"/>
      <c r="BJ68" s="2211"/>
      <c r="BK68" s="2212"/>
      <c r="BL68" s="2212"/>
      <c r="BM68" s="2211"/>
      <c r="BN68" s="2212"/>
      <c r="BO68" s="2212"/>
      <c r="BP68" s="2211"/>
      <c r="BQ68" s="2212"/>
      <c r="BR68" s="2212"/>
      <c r="BS68" s="2211"/>
      <c r="BT68" s="2212"/>
      <c r="BU68" s="2212"/>
      <c r="BV68" s="2211"/>
      <c r="BW68" s="2212"/>
      <c r="BX68" s="2212"/>
      <c r="BY68" s="2211"/>
      <c r="BZ68" s="2212"/>
      <c r="CA68" s="2212"/>
      <c r="CB68" s="2211"/>
      <c r="CC68" s="2211"/>
      <c r="CD68" s="2212"/>
      <c r="CE68" s="2212"/>
      <c r="CF68" s="2211"/>
      <c r="CG68" s="2211"/>
      <c r="CH68" s="2212"/>
      <c r="CI68" s="2212"/>
      <c r="CJ68" s="2211"/>
      <c r="CK68" s="2212"/>
      <c r="CL68" s="2212"/>
      <c r="CM68" s="2211"/>
      <c r="CN68" s="2211"/>
      <c r="CO68" s="2212"/>
      <c r="CP68" s="2212"/>
      <c r="CQ68" s="2211"/>
      <c r="CR68" s="2212"/>
      <c r="CS68" s="2212"/>
      <c r="CT68" s="2211"/>
      <c r="CU68" s="2212"/>
      <c r="CV68" s="2212"/>
      <c r="CW68" s="2211"/>
      <c r="CX68" s="2212"/>
      <c r="CY68" s="2212"/>
      <c r="CZ68" s="2211"/>
      <c r="DA68" s="2212"/>
      <c r="DB68" s="2212"/>
      <c r="DC68" s="2211"/>
      <c r="DD68" s="2211"/>
      <c r="DE68" s="2212"/>
      <c r="DF68" s="2212"/>
      <c r="DG68" s="2211"/>
      <c r="DH68" s="2212"/>
      <c r="DI68" s="2212"/>
      <c r="DJ68" s="2211"/>
      <c r="DK68" s="2212"/>
      <c r="DL68" s="2212"/>
      <c r="DM68" s="2211"/>
      <c r="DN68" s="2211"/>
      <c r="DO68" s="2212"/>
      <c r="DP68" s="2212"/>
      <c r="DQ68" s="2212"/>
      <c r="DR68" s="2211"/>
      <c r="DS68" s="2211"/>
      <c r="DT68" s="2211"/>
      <c r="DU68" s="2211"/>
      <c r="DV68" s="2211"/>
      <c r="DW68" s="2211"/>
      <c r="DX68" s="2211"/>
      <c r="DY68" s="2211"/>
      <c r="DZ68" s="2212"/>
      <c r="EA68" s="2212"/>
      <c r="EB68" s="2211"/>
      <c r="EC68" s="2211"/>
      <c r="ED68" s="2215"/>
      <c r="EE68" s="2206">
        <f t="shared" si="141"/>
        <v>5761000</v>
      </c>
      <c r="EF68" s="2165"/>
      <c r="EG68" s="2166"/>
      <c r="EH68" s="2209">
        <f t="shared" si="142"/>
        <v>5761000</v>
      </c>
      <c r="EI68" s="2166">
        <f t="shared" si="7"/>
        <v>0</v>
      </c>
      <c r="EJ68" s="2209"/>
      <c r="EL68" s="2208"/>
    </row>
    <row r="69" spans="1:142" s="2279" customFormat="1" outlineLevel="1">
      <c r="A69" s="2268">
        <v>6351</v>
      </c>
      <c r="B69" s="2269" t="s">
        <v>295</v>
      </c>
      <c r="C69" s="2270">
        <v>3370000</v>
      </c>
      <c r="D69" s="2270">
        <v>4858080</v>
      </c>
      <c r="E69" s="2270">
        <v>4858080</v>
      </c>
      <c r="F69" s="2270">
        <v>6558080</v>
      </c>
      <c r="G69" s="2270">
        <v>6558080</v>
      </c>
      <c r="H69" s="2270">
        <v>8558080</v>
      </c>
      <c r="I69" s="2270">
        <v>8558080</v>
      </c>
      <c r="J69" s="2270">
        <v>8558080</v>
      </c>
      <c r="K69" s="2270">
        <f>SUM(L69:T69)+SUM(Y69:AI69)+AL69+AO69+SUM(AR69:AU69)+AX69+BG69+BM69+BP69+BS69+BV69+BY69+CB69+CC69+CF69+CG69+CJ69+SUM(CM69:CN69)+CW69+CZ69+DC69+DD69+DG69+DJ69+DM69+DN69+SUM(DR69:DY69)+CQ69+CT69+SUM(EB69:ED69)+W69+BA69+BD69+X69</f>
        <v>8558080</v>
      </c>
      <c r="L69" s="2271"/>
      <c r="M69" s="2272"/>
      <c r="N69" s="2272"/>
      <c r="O69" s="2272"/>
      <c r="P69" s="2273">
        <f>+'[7]Všebecná pokladna'!$B$100</f>
        <v>0</v>
      </c>
      <c r="Q69" s="2273">
        <f>+'[3]Participativní rozpočet'!$B$117</f>
        <v>600000</v>
      </c>
      <c r="R69" s="2272"/>
      <c r="S69" s="2272"/>
      <c r="T69" s="2272">
        <f t="shared" si="117"/>
        <v>0</v>
      </c>
      <c r="U69" s="2272"/>
      <c r="V69" s="2274"/>
      <c r="W69" s="2272"/>
      <c r="X69" s="2231">
        <f>+[4]TSÚ!$B$4</f>
        <v>7958080</v>
      </c>
      <c r="Y69" s="2272"/>
      <c r="Z69" s="2272"/>
      <c r="AA69" s="2272"/>
      <c r="AB69" s="2272"/>
      <c r="AC69" s="2272"/>
      <c r="AD69" s="2272"/>
      <c r="AE69" s="2272"/>
      <c r="AF69" s="2272"/>
      <c r="AG69" s="2272"/>
      <c r="AH69" s="2272"/>
      <c r="AI69" s="2272">
        <f t="shared" si="118"/>
        <v>0</v>
      </c>
      <c r="AJ69" s="2272"/>
      <c r="AK69" s="2272"/>
      <c r="AL69" s="2272">
        <f t="shared" si="119"/>
        <v>0</v>
      </c>
      <c r="AM69" s="2272"/>
      <c r="AN69" s="2272"/>
      <c r="AO69" s="2211">
        <f t="shared" si="120"/>
        <v>0</v>
      </c>
      <c r="AP69" s="2272"/>
      <c r="AQ69" s="2272"/>
      <c r="AR69" s="2272"/>
      <c r="AS69" s="2272"/>
      <c r="AT69" s="2272"/>
      <c r="AU69" s="2272">
        <f t="shared" si="121"/>
        <v>0</v>
      </c>
      <c r="AV69" s="2272"/>
      <c r="AW69" s="2272"/>
      <c r="AX69" s="2272">
        <f t="shared" si="122"/>
        <v>0</v>
      </c>
      <c r="AY69" s="2272"/>
      <c r="AZ69" s="2272"/>
      <c r="BA69" s="2272">
        <f t="shared" ref="BA69:BA71" si="147">+BB69+BC69</f>
        <v>0</v>
      </c>
      <c r="BB69" s="2272"/>
      <c r="BC69" s="2272"/>
      <c r="BD69" s="2272">
        <f t="shared" ref="BD69:BD71" si="148">+BE69+BF69</f>
        <v>0</v>
      </c>
      <c r="BE69" s="2272"/>
      <c r="BF69" s="2272"/>
      <c r="BG69" s="2272">
        <f t="shared" si="125"/>
        <v>0</v>
      </c>
      <c r="BH69" s="2272"/>
      <c r="BI69" s="2272"/>
      <c r="BJ69" s="2272">
        <f t="shared" ref="BJ69:BJ71" si="149">+BK69+BL69</f>
        <v>0</v>
      </c>
      <c r="BK69" s="2272"/>
      <c r="BL69" s="2272"/>
      <c r="BM69" s="2272">
        <f t="shared" si="127"/>
        <v>0</v>
      </c>
      <c r="BN69" s="2272"/>
      <c r="BO69" s="2272"/>
      <c r="BP69" s="2272">
        <f t="shared" si="128"/>
        <v>0</v>
      </c>
      <c r="BQ69" s="2272"/>
      <c r="BR69" s="2272"/>
      <c r="BS69" s="2272">
        <f t="shared" si="129"/>
        <v>0</v>
      </c>
      <c r="BT69" s="2272"/>
      <c r="BU69" s="2272"/>
      <c r="BV69" s="2272">
        <f t="shared" si="130"/>
        <v>0</v>
      </c>
      <c r="BW69" s="2272"/>
      <c r="BX69" s="2272"/>
      <c r="BY69" s="2272">
        <f t="shared" si="131"/>
        <v>0</v>
      </c>
      <c r="BZ69" s="2272"/>
      <c r="CA69" s="2272"/>
      <c r="CB69" s="2272"/>
      <c r="CC69" s="2272">
        <f t="shared" si="132"/>
        <v>0</v>
      </c>
      <c r="CD69" s="2272"/>
      <c r="CE69" s="2272"/>
      <c r="CF69" s="2272"/>
      <c r="CG69" s="2272">
        <f t="shared" si="133"/>
        <v>0</v>
      </c>
      <c r="CH69" s="2272"/>
      <c r="CI69" s="2272"/>
      <c r="CJ69" s="2272">
        <f t="shared" si="134"/>
        <v>0</v>
      </c>
      <c r="CK69" s="2272"/>
      <c r="CL69" s="2272"/>
      <c r="CM69" s="2272"/>
      <c r="CN69" s="2272">
        <f t="shared" si="135"/>
        <v>0</v>
      </c>
      <c r="CO69" s="2272"/>
      <c r="CP69" s="2272"/>
      <c r="CQ69" s="2272"/>
      <c r="CR69" s="2272"/>
      <c r="CS69" s="2272"/>
      <c r="CT69" s="2272"/>
      <c r="CU69" s="2272"/>
      <c r="CV69" s="2272"/>
      <c r="CW69" s="2272"/>
      <c r="CX69" s="2272"/>
      <c r="CY69" s="2272"/>
      <c r="CZ69" s="2272">
        <f t="shared" si="136"/>
        <v>0</v>
      </c>
      <c r="DA69" s="2272"/>
      <c r="DB69" s="2272"/>
      <c r="DC69" s="2272"/>
      <c r="DD69" s="2272">
        <f t="shared" si="137"/>
        <v>0</v>
      </c>
      <c r="DE69" s="2272"/>
      <c r="DF69" s="2272"/>
      <c r="DG69" s="2272">
        <f t="shared" si="138"/>
        <v>0</v>
      </c>
      <c r="DH69" s="2272"/>
      <c r="DI69" s="2272"/>
      <c r="DJ69" s="2272">
        <f t="shared" si="139"/>
        <v>0</v>
      </c>
      <c r="DK69" s="2272"/>
      <c r="DL69" s="2272"/>
      <c r="DM69" s="2272"/>
      <c r="DN69" s="2272">
        <f t="shared" si="140"/>
        <v>0</v>
      </c>
      <c r="DO69" s="2272"/>
      <c r="DP69" s="2272"/>
      <c r="DQ69" s="2272"/>
      <c r="DR69" s="2272"/>
      <c r="DS69" s="2272"/>
      <c r="DT69" s="2272"/>
      <c r="DU69" s="2272"/>
      <c r="DV69" s="2272"/>
      <c r="DW69" s="2272"/>
      <c r="DX69" s="2272"/>
      <c r="DY69" s="2272"/>
      <c r="DZ69" s="2272"/>
      <c r="EA69" s="2272"/>
      <c r="EB69" s="2272"/>
      <c r="EC69" s="2272"/>
      <c r="ED69" s="2275"/>
      <c r="EE69" s="2276">
        <f>+L69+M69+N69+P69+R69+S69+T69+W69+X69+Y69+AA69+AB69+AC69+AF69+AG69+AH69+AI69+AL69+AO69+AR69+AS69+AT69+AU69+AX69+BG69+BM69+BP69+BS69+BV69+BY69+CB69+CC69+CF69+CG69+CJ69+CM69+CN69+CQ69+CT69+CW69+CZ69+DC69+DD69+DG69+DJ69+DM69+DN69+DR69+DS69+DT69+DU69+DV69+DX69+DY69+EB69+EC69+ED69+BJ69+BD69+BA69+AD69-X69+O69+Q69+Z69+X69</f>
        <v>8558080</v>
      </c>
      <c r="EF69" s="2277">
        <f t="shared" si="77"/>
        <v>0</v>
      </c>
      <c r="EG69" s="2278"/>
      <c r="EH69" s="2270">
        <f t="shared" si="142"/>
        <v>600000</v>
      </c>
      <c r="EI69" s="2278">
        <f t="shared" si="7"/>
        <v>0</v>
      </c>
      <c r="EJ69" s="2270">
        <f>+V69+AK69+AN69++AQ69+AW69+AZ69+BI69+BO69+BR69+BU69+BX69+CA69+CE69+CI69+CL69+CP69+DB69+DF69+DI69+DL69+DQ69+X69</f>
        <v>7958080</v>
      </c>
      <c r="EL69" s="2280"/>
    </row>
    <row r="70" spans="1:142" s="2291" customFormat="1" outlineLevel="1">
      <c r="A70" s="2281">
        <v>8115</v>
      </c>
      <c r="B70" s="2282" t="s">
        <v>1522</v>
      </c>
      <c r="C70" s="2283">
        <v>53665.908239975572</v>
      </c>
      <c r="D70" s="2283">
        <v>18441296.001800001</v>
      </c>
      <c r="E70" s="2283">
        <v>18767267.001800001</v>
      </c>
      <c r="F70" s="2283">
        <v>8208593.0018000007</v>
      </c>
      <c r="G70" s="2283">
        <v>8208593.0018000007</v>
      </c>
      <c r="H70" s="2283">
        <v>28454850.001800001</v>
      </c>
      <c r="I70" s="2283">
        <v>17625350.001800001</v>
      </c>
      <c r="J70" s="2283">
        <v>174401.91705602407</v>
      </c>
      <c r="K70" s="2283">
        <f t="shared" ref="K70" si="150">SUM(L70:T70)+SUM(Y70:AI70)+AL70+AO70+SUM(AR70:AU70)+AX70+BG70+BM70+BP70+BS70+BV70+BY70+CB70+CC70+CF70+CG70+CJ70+SUM(CM70:CN70)+CW70+CZ70+DC70+DD70+DG70+DJ70+DM70+DN70+SUM(DR70:DY70)+CQ70+CT70+SUM(EB70:ED70)+W70+BA70+BD70</f>
        <v>8391019.9835560024</v>
      </c>
      <c r="L70" s="2284"/>
      <c r="M70" s="2213"/>
      <c r="N70" s="2212"/>
      <c r="O70" s="2213"/>
      <c r="P70" s="2230">
        <f>P78</f>
        <v>8391019.9835560024</v>
      </c>
      <c r="Q70" s="2211"/>
      <c r="R70" s="2285"/>
      <c r="S70" s="2285"/>
      <c r="T70" s="2212">
        <f t="shared" si="117"/>
        <v>0</v>
      </c>
      <c r="U70" s="2212"/>
      <c r="V70" s="2213"/>
      <c r="W70" s="2212"/>
      <c r="X70" s="2286">
        <f>+V70+AW70+CL70+CI70+CE70+DQ70+AK70+AQ70+AZ70+BI70+BO70+BR70+BU70+BX70+CA70+CP70+DB70+DF70+DI70+DL70+AN70+EA70</f>
        <v>0</v>
      </c>
      <c r="Y70" s="2212"/>
      <c r="Z70" s="2212"/>
      <c r="AA70" s="2212"/>
      <c r="AB70" s="2212"/>
      <c r="AC70" s="2212"/>
      <c r="AD70" s="2212"/>
      <c r="AE70" s="2212"/>
      <c r="AF70" s="2212"/>
      <c r="AG70" s="2212"/>
      <c r="AH70" s="2212"/>
      <c r="AI70" s="2212">
        <f t="shared" si="118"/>
        <v>0</v>
      </c>
      <c r="AJ70" s="2212"/>
      <c r="AK70" s="2212"/>
      <c r="AL70" s="2212">
        <f t="shared" si="119"/>
        <v>0</v>
      </c>
      <c r="AM70" s="2212"/>
      <c r="AN70" s="2212"/>
      <c r="AO70" s="2212">
        <f t="shared" si="120"/>
        <v>0</v>
      </c>
      <c r="AP70" s="2212"/>
      <c r="AQ70" s="2212"/>
      <c r="AR70" s="2212"/>
      <c r="AS70" s="2212"/>
      <c r="AT70" s="2212"/>
      <c r="AU70" s="2212">
        <f t="shared" si="121"/>
        <v>0</v>
      </c>
      <c r="AV70" s="2212"/>
      <c r="AW70" s="2212"/>
      <c r="AX70" s="2212">
        <f t="shared" si="122"/>
        <v>0</v>
      </c>
      <c r="AY70" s="2212"/>
      <c r="AZ70" s="2212"/>
      <c r="BA70" s="2212">
        <f t="shared" si="147"/>
        <v>0</v>
      </c>
      <c r="BB70" s="2212"/>
      <c r="BC70" s="2212"/>
      <c r="BD70" s="2212">
        <f t="shared" si="148"/>
        <v>0</v>
      </c>
      <c r="BE70" s="2212"/>
      <c r="BF70" s="2212"/>
      <c r="BG70" s="2212">
        <f t="shared" si="125"/>
        <v>0</v>
      </c>
      <c r="BH70" s="2212"/>
      <c r="BI70" s="2212"/>
      <c r="BJ70" s="2212">
        <f t="shared" si="149"/>
        <v>0</v>
      </c>
      <c r="BK70" s="2212"/>
      <c r="BL70" s="2212"/>
      <c r="BM70" s="2212">
        <f t="shared" si="127"/>
        <v>0</v>
      </c>
      <c r="BN70" s="2212"/>
      <c r="BO70" s="2212"/>
      <c r="BP70" s="2212">
        <f t="shared" si="128"/>
        <v>0</v>
      </c>
      <c r="BQ70" s="2212"/>
      <c r="BR70" s="2212"/>
      <c r="BS70" s="2212">
        <f t="shared" si="129"/>
        <v>0</v>
      </c>
      <c r="BT70" s="2212"/>
      <c r="BU70" s="2212"/>
      <c r="BV70" s="2212">
        <f t="shared" si="130"/>
        <v>0</v>
      </c>
      <c r="BW70" s="2212"/>
      <c r="BX70" s="2212"/>
      <c r="BY70" s="2212">
        <f t="shared" si="131"/>
        <v>0</v>
      </c>
      <c r="BZ70" s="2212"/>
      <c r="CA70" s="2212"/>
      <c r="CB70" s="2212"/>
      <c r="CC70" s="2212">
        <f t="shared" si="132"/>
        <v>0</v>
      </c>
      <c r="CD70" s="2212"/>
      <c r="CE70" s="2212"/>
      <c r="CF70" s="2212"/>
      <c r="CG70" s="2212">
        <f t="shared" si="133"/>
        <v>0</v>
      </c>
      <c r="CH70" s="2212"/>
      <c r="CI70" s="2212"/>
      <c r="CJ70" s="2212">
        <f t="shared" si="134"/>
        <v>0</v>
      </c>
      <c r="CK70" s="2212"/>
      <c r="CL70" s="2212"/>
      <c r="CM70" s="2212"/>
      <c r="CN70" s="2212">
        <f t="shared" si="135"/>
        <v>0</v>
      </c>
      <c r="CO70" s="2212"/>
      <c r="CP70" s="2212"/>
      <c r="CQ70" s="2212"/>
      <c r="CR70" s="2212"/>
      <c r="CS70" s="2212"/>
      <c r="CT70" s="2212"/>
      <c r="CU70" s="2212"/>
      <c r="CV70" s="2212"/>
      <c r="CW70" s="2212"/>
      <c r="CX70" s="2212"/>
      <c r="CY70" s="2212"/>
      <c r="CZ70" s="2212">
        <f t="shared" si="136"/>
        <v>0</v>
      </c>
      <c r="DA70" s="2212"/>
      <c r="DB70" s="2212"/>
      <c r="DC70" s="2212"/>
      <c r="DD70" s="2212">
        <f t="shared" si="137"/>
        <v>0</v>
      </c>
      <c r="DE70" s="2212"/>
      <c r="DF70" s="2212"/>
      <c r="DG70" s="2212">
        <f t="shared" si="138"/>
        <v>0</v>
      </c>
      <c r="DH70" s="2212"/>
      <c r="DI70" s="2212"/>
      <c r="DJ70" s="2212">
        <f t="shared" si="139"/>
        <v>0</v>
      </c>
      <c r="DK70" s="2212"/>
      <c r="DL70" s="2212"/>
      <c r="DM70" s="2212"/>
      <c r="DN70" s="2212">
        <f t="shared" si="140"/>
        <v>0</v>
      </c>
      <c r="DO70" s="2212"/>
      <c r="DP70" s="2212"/>
      <c r="DQ70" s="2212"/>
      <c r="DR70" s="2212"/>
      <c r="DS70" s="2212"/>
      <c r="DT70" s="2212"/>
      <c r="DU70" s="2212"/>
      <c r="DV70" s="2212"/>
      <c r="DW70" s="2212"/>
      <c r="DX70" s="2212"/>
      <c r="DY70" s="2212"/>
      <c r="DZ70" s="2212"/>
      <c r="EA70" s="2212"/>
      <c r="EB70" s="2212"/>
      <c r="EC70" s="2212"/>
      <c r="ED70" s="2287"/>
      <c r="EE70" s="2288">
        <f t="shared" si="141"/>
        <v>8391019.9835560024</v>
      </c>
      <c r="EF70" s="2289">
        <f t="shared" si="77"/>
        <v>0</v>
      </c>
      <c r="EG70" s="2290"/>
      <c r="EH70" s="2283">
        <f t="shared" si="142"/>
        <v>8391019.9835560024</v>
      </c>
      <c r="EI70" s="2290">
        <f t="shared" si="7"/>
        <v>0</v>
      </c>
      <c r="EJ70" s="2283">
        <f t="shared" si="143"/>
        <v>0</v>
      </c>
      <c r="EL70" s="2229"/>
    </row>
    <row r="71" spans="1:142" outlineLevel="1">
      <c r="A71" s="2225">
        <v>6349</v>
      </c>
      <c r="B71" s="2198" t="s">
        <v>295</v>
      </c>
      <c r="C71" s="2209">
        <v>0</v>
      </c>
      <c r="D71" s="2209">
        <v>0</v>
      </c>
      <c r="E71" s="2209">
        <v>0</v>
      </c>
      <c r="F71" s="2209">
        <v>0</v>
      </c>
      <c r="G71" s="2209">
        <v>0</v>
      </c>
      <c r="H71" s="2209">
        <v>0</v>
      </c>
      <c r="I71" s="2209">
        <v>0</v>
      </c>
      <c r="J71" s="2209">
        <v>0</v>
      </c>
      <c r="K71" s="2209">
        <f>SUM(L71:T71)+SUM(Y71:AI71)+AL71+AO71+SUM(AR71:AU71)+AX71+BG71+BM71+BP71+BS71+BV71+BY71+CB71+CC71+CF71+CG71+CJ71+SUM(CM71:CN71)+CW71+CZ71+DC71+DD71+DG71+DJ71+DM71+DN71+SUM(DR71:DY71)+CQ71+CT71+SUM(EB71:ED71)+W71+BA71+BD71+BJ71</f>
        <v>0</v>
      </c>
      <c r="L71" s="2210"/>
      <c r="M71" s="2211"/>
      <c r="N71" s="2212"/>
      <c r="O71" s="2202"/>
      <c r="P71" s="2201"/>
      <c r="Q71" s="2201"/>
      <c r="R71" s="2211"/>
      <c r="S71" s="2211"/>
      <c r="T71" s="2211">
        <f t="shared" si="117"/>
        <v>0</v>
      </c>
      <c r="U71" s="2212"/>
      <c r="V71" s="2213"/>
      <c r="W71" s="2211"/>
      <c r="X71" s="2227"/>
      <c r="Y71" s="2211"/>
      <c r="Z71" s="2211"/>
      <c r="AA71" s="2211"/>
      <c r="AB71" s="2211"/>
      <c r="AC71" s="2211"/>
      <c r="AD71" s="2211"/>
      <c r="AE71" s="2211"/>
      <c r="AF71" s="2211"/>
      <c r="AG71" s="2211"/>
      <c r="AH71" s="2211"/>
      <c r="AI71" s="2211">
        <f t="shared" si="118"/>
        <v>0</v>
      </c>
      <c r="AJ71" s="2212"/>
      <c r="AK71" s="2212"/>
      <c r="AL71" s="2211">
        <f t="shared" si="119"/>
        <v>0</v>
      </c>
      <c r="AM71" s="2212"/>
      <c r="AN71" s="2212"/>
      <c r="AO71" s="2211">
        <f t="shared" si="120"/>
        <v>0</v>
      </c>
      <c r="AP71" s="2212"/>
      <c r="AQ71" s="2212"/>
      <c r="AR71" s="2211"/>
      <c r="AS71" s="2211"/>
      <c r="AT71" s="2211"/>
      <c r="AU71" s="2211">
        <f t="shared" si="121"/>
        <v>0</v>
      </c>
      <c r="AV71" s="2212"/>
      <c r="AW71" s="2212"/>
      <c r="AX71" s="2211">
        <f t="shared" si="122"/>
        <v>0</v>
      </c>
      <c r="AY71" s="2212"/>
      <c r="AZ71" s="2212"/>
      <c r="BA71" s="2211">
        <f t="shared" si="147"/>
        <v>0</v>
      </c>
      <c r="BB71" s="2212"/>
      <c r="BC71" s="2212"/>
      <c r="BD71" s="2211">
        <f t="shared" si="148"/>
        <v>0</v>
      </c>
      <c r="BE71" s="2212"/>
      <c r="BF71" s="2212"/>
      <c r="BG71" s="2211">
        <f t="shared" si="125"/>
        <v>0</v>
      </c>
      <c r="BH71" s="2212"/>
      <c r="BI71" s="2212"/>
      <c r="BJ71" s="2211">
        <f t="shared" si="149"/>
        <v>0</v>
      </c>
      <c r="BK71" s="2212"/>
      <c r="BL71" s="2212"/>
      <c r="BM71" s="2211">
        <f t="shared" si="127"/>
        <v>0</v>
      </c>
      <c r="BN71" s="2212"/>
      <c r="BO71" s="2212"/>
      <c r="BP71" s="2211">
        <f t="shared" si="128"/>
        <v>0</v>
      </c>
      <c r="BQ71" s="2212"/>
      <c r="BR71" s="2212"/>
      <c r="BS71" s="2211">
        <f t="shared" si="129"/>
        <v>0</v>
      </c>
      <c r="BT71" s="2212"/>
      <c r="BU71" s="2212"/>
      <c r="BV71" s="2211">
        <f t="shared" si="130"/>
        <v>0</v>
      </c>
      <c r="BW71" s="2212"/>
      <c r="BX71" s="2212"/>
      <c r="BY71" s="2211">
        <f t="shared" si="131"/>
        <v>0</v>
      </c>
      <c r="BZ71" s="2212"/>
      <c r="CA71" s="2212"/>
      <c r="CB71" s="2211"/>
      <c r="CC71" s="2211">
        <f t="shared" si="132"/>
        <v>0</v>
      </c>
      <c r="CD71" s="2212"/>
      <c r="CE71" s="2212"/>
      <c r="CF71" s="2211"/>
      <c r="CG71" s="2211">
        <f t="shared" si="133"/>
        <v>0</v>
      </c>
      <c r="CH71" s="2212"/>
      <c r="CI71" s="2212"/>
      <c r="CJ71" s="2211">
        <f t="shared" si="134"/>
        <v>0</v>
      </c>
      <c r="CK71" s="2212"/>
      <c r="CL71" s="2212"/>
      <c r="CM71" s="2211"/>
      <c r="CN71" s="2211">
        <f t="shared" si="135"/>
        <v>0</v>
      </c>
      <c r="CO71" s="2212"/>
      <c r="CP71" s="2212"/>
      <c r="CQ71" s="2211"/>
      <c r="CR71" s="2212"/>
      <c r="CS71" s="2212"/>
      <c r="CT71" s="2211"/>
      <c r="CU71" s="2212"/>
      <c r="CV71" s="2212"/>
      <c r="CW71" s="2211"/>
      <c r="CX71" s="2211"/>
      <c r="CY71" s="2211"/>
      <c r="CZ71" s="2211">
        <f t="shared" si="136"/>
        <v>0</v>
      </c>
      <c r="DA71" s="2212"/>
      <c r="DB71" s="2212"/>
      <c r="DC71" s="2211"/>
      <c r="DD71" s="2211">
        <f t="shared" si="137"/>
        <v>0</v>
      </c>
      <c r="DE71" s="2212"/>
      <c r="DF71" s="2212"/>
      <c r="DG71" s="2211">
        <f t="shared" si="138"/>
        <v>0</v>
      </c>
      <c r="DH71" s="2212"/>
      <c r="DI71" s="2212"/>
      <c r="DJ71" s="2211">
        <f t="shared" si="139"/>
        <v>0</v>
      </c>
      <c r="DK71" s="2212"/>
      <c r="DL71" s="2212"/>
      <c r="DM71" s="2211"/>
      <c r="DN71" s="2211">
        <f t="shared" si="140"/>
        <v>0</v>
      </c>
      <c r="DO71" s="2212"/>
      <c r="DP71" s="2212"/>
      <c r="DQ71" s="2212"/>
      <c r="DR71" s="2211"/>
      <c r="DS71" s="2211"/>
      <c r="DT71" s="2211"/>
      <c r="DU71" s="2211"/>
      <c r="DV71" s="2211"/>
      <c r="DW71" s="2211"/>
      <c r="DX71" s="2211"/>
      <c r="DY71" s="2211"/>
      <c r="DZ71" s="2212"/>
      <c r="EA71" s="2212"/>
      <c r="EB71" s="2211"/>
      <c r="EC71" s="2211"/>
      <c r="ED71" s="2215"/>
      <c r="EE71" s="2206">
        <f t="shared" si="141"/>
        <v>0</v>
      </c>
      <c r="EF71" s="2165">
        <f t="shared" si="77"/>
        <v>0</v>
      </c>
      <c r="EG71" s="2166"/>
      <c r="EH71" s="2209">
        <f t="shared" si="142"/>
        <v>0</v>
      </c>
      <c r="EI71" s="2166">
        <f t="shared" si="7"/>
        <v>0</v>
      </c>
      <c r="EJ71" s="2209">
        <f t="shared" si="143"/>
        <v>0</v>
      </c>
      <c r="EL71" s="2208"/>
    </row>
    <row r="72" spans="1:142" ht="15" thickBot="1">
      <c r="A72" s="2216" t="s">
        <v>113</v>
      </c>
      <c r="B72" s="2217" t="s">
        <v>114</v>
      </c>
      <c r="C72" s="2218">
        <v>67577320.38823998</v>
      </c>
      <c r="D72" s="2218">
        <v>196157212.0018</v>
      </c>
      <c r="E72" s="2218">
        <v>215183183.0018</v>
      </c>
      <c r="F72" s="2218">
        <v>204789464.0018</v>
      </c>
      <c r="G72" s="2218">
        <v>204789464.0018</v>
      </c>
      <c r="H72" s="2218">
        <v>197717824.0018</v>
      </c>
      <c r="I72" s="2218">
        <v>186888324.0018</v>
      </c>
      <c r="J72" s="2218">
        <v>117416370.91705602</v>
      </c>
      <c r="K72" s="2218">
        <f t="shared" ref="K72:O72" si="151">SUM(K60:K71)</f>
        <v>114035099.983556</v>
      </c>
      <c r="L72" s="2219">
        <f t="shared" si="151"/>
        <v>0</v>
      </c>
      <c r="M72" s="2220">
        <f t="shared" si="151"/>
        <v>0</v>
      </c>
      <c r="N72" s="2220">
        <f t="shared" si="151"/>
        <v>0</v>
      </c>
      <c r="O72" s="2220">
        <f t="shared" si="151"/>
        <v>0</v>
      </c>
      <c r="P72" s="2220">
        <f t="shared" ref="P72:W72" si="152">SUM(P60:P71)</f>
        <v>14757019.983556002</v>
      </c>
      <c r="Q72" s="2220">
        <f t="shared" si="152"/>
        <v>600000</v>
      </c>
      <c r="R72" s="2220">
        <f t="shared" si="152"/>
        <v>0</v>
      </c>
      <c r="S72" s="2220">
        <f t="shared" si="152"/>
        <v>0</v>
      </c>
      <c r="T72" s="2220">
        <f t="shared" si="152"/>
        <v>4462000</v>
      </c>
      <c r="U72" s="2221">
        <f t="shared" si="152"/>
        <v>4462000</v>
      </c>
      <c r="V72" s="2222">
        <f t="shared" si="152"/>
        <v>0</v>
      </c>
      <c r="W72" s="2220">
        <f t="shared" si="152"/>
        <v>0</v>
      </c>
      <c r="X72" s="2223">
        <f>SUM(X69:X71)</f>
        <v>7958080</v>
      </c>
      <c r="Y72" s="2220">
        <f t="shared" ref="Y72:BP72" si="153">SUM(Y60:Y71)</f>
        <v>0</v>
      </c>
      <c r="Z72" s="2220">
        <f t="shared" ref="Z72" si="154">SUM(Z60:Z71)</f>
        <v>0</v>
      </c>
      <c r="AA72" s="2220">
        <f t="shared" si="153"/>
        <v>0</v>
      </c>
      <c r="AB72" s="2220">
        <f t="shared" si="153"/>
        <v>600000</v>
      </c>
      <c r="AC72" s="2220">
        <f t="shared" si="153"/>
        <v>0</v>
      </c>
      <c r="AD72" s="2220">
        <f t="shared" ref="AD72:AE72" si="155">SUM(AD60:AD71)</f>
        <v>0</v>
      </c>
      <c r="AE72" s="2220">
        <f t="shared" si="155"/>
        <v>0</v>
      </c>
      <c r="AF72" s="2220">
        <f t="shared" si="153"/>
        <v>250000</v>
      </c>
      <c r="AG72" s="2220">
        <f t="shared" si="153"/>
        <v>0</v>
      </c>
      <c r="AH72" s="2220">
        <f t="shared" si="153"/>
        <v>0</v>
      </c>
      <c r="AI72" s="2220">
        <f t="shared" si="153"/>
        <v>2105000</v>
      </c>
      <c r="AJ72" s="2221">
        <f t="shared" si="153"/>
        <v>2105000</v>
      </c>
      <c r="AK72" s="2221">
        <f t="shared" si="153"/>
        <v>0</v>
      </c>
      <c r="AL72" s="2220">
        <f t="shared" si="153"/>
        <v>0</v>
      </c>
      <c r="AM72" s="2221">
        <f t="shared" si="153"/>
        <v>0</v>
      </c>
      <c r="AN72" s="2221">
        <f t="shared" si="153"/>
        <v>0</v>
      </c>
      <c r="AO72" s="2220">
        <f t="shared" si="153"/>
        <v>9890000</v>
      </c>
      <c r="AP72" s="2221">
        <f t="shared" si="153"/>
        <v>9890000</v>
      </c>
      <c r="AQ72" s="2221">
        <f t="shared" si="153"/>
        <v>0</v>
      </c>
      <c r="AR72" s="2220">
        <f t="shared" si="153"/>
        <v>45000</v>
      </c>
      <c r="AS72" s="2220">
        <f t="shared" si="153"/>
        <v>0</v>
      </c>
      <c r="AT72" s="2220">
        <f t="shared" si="153"/>
        <v>0</v>
      </c>
      <c r="AU72" s="2220">
        <f t="shared" si="153"/>
        <v>95000</v>
      </c>
      <c r="AV72" s="2221">
        <f t="shared" si="153"/>
        <v>95000</v>
      </c>
      <c r="AW72" s="2221">
        <f t="shared" si="153"/>
        <v>0</v>
      </c>
      <c r="AX72" s="2220">
        <f t="shared" si="153"/>
        <v>370000</v>
      </c>
      <c r="AY72" s="2221">
        <f t="shared" si="153"/>
        <v>370000</v>
      </c>
      <c r="AZ72" s="2221">
        <f t="shared" si="153"/>
        <v>0</v>
      </c>
      <c r="BA72" s="2220">
        <f t="shared" ref="BA72:BC72" si="156">SUM(BA60:BA71)</f>
        <v>0</v>
      </c>
      <c r="BB72" s="2221">
        <f t="shared" si="156"/>
        <v>0</v>
      </c>
      <c r="BC72" s="2221">
        <f t="shared" si="156"/>
        <v>0</v>
      </c>
      <c r="BD72" s="2220">
        <f t="shared" ref="BD72:BF72" si="157">SUM(BD60:BD71)</f>
        <v>0</v>
      </c>
      <c r="BE72" s="2221">
        <f t="shared" si="157"/>
        <v>0</v>
      </c>
      <c r="BF72" s="2221">
        <f t="shared" si="157"/>
        <v>0</v>
      </c>
      <c r="BG72" s="2220">
        <f t="shared" si="153"/>
        <v>5761000</v>
      </c>
      <c r="BH72" s="2221">
        <f t="shared" si="153"/>
        <v>5761000</v>
      </c>
      <c r="BI72" s="2221">
        <f t="shared" si="153"/>
        <v>0</v>
      </c>
      <c r="BJ72" s="2220">
        <f t="shared" ref="BJ72:BL72" si="158">SUM(BJ60:BJ71)</f>
        <v>0</v>
      </c>
      <c r="BK72" s="2221">
        <f t="shared" si="158"/>
        <v>0</v>
      </c>
      <c r="BL72" s="2221">
        <f t="shared" si="158"/>
        <v>0</v>
      </c>
      <c r="BM72" s="2220">
        <f t="shared" si="153"/>
        <v>0</v>
      </c>
      <c r="BN72" s="2221">
        <f t="shared" si="153"/>
        <v>0</v>
      </c>
      <c r="BO72" s="2221">
        <f t="shared" si="153"/>
        <v>0</v>
      </c>
      <c r="BP72" s="2220">
        <f t="shared" si="153"/>
        <v>0</v>
      </c>
      <c r="BQ72" s="2221">
        <f t="shared" ref="BQ72:CQ72" si="159">SUM(BQ60:BQ71)</f>
        <v>0</v>
      </c>
      <c r="BR72" s="2221">
        <f t="shared" si="159"/>
        <v>0</v>
      </c>
      <c r="BS72" s="2220">
        <f t="shared" si="159"/>
        <v>780000</v>
      </c>
      <c r="BT72" s="2221">
        <f t="shared" si="159"/>
        <v>780000</v>
      </c>
      <c r="BU72" s="2221">
        <f t="shared" si="159"/>
        <v>0</v>
      </c>
      <c r="BV72" s="2220">
        <f t="shared" si="159"/>
        <v>200000</v>
      </c>
      <c r="BW72" s="2221">
        <f t="shared" si="159"/>
        <v>200000</v>
      </c>
      <c r="BX72" s="2221">
        <f t="shared" si="159"/>
        <v>0</v>
      </c>
      <c r="BY72" s="2220">
        <f t="shared" si="159"/>
        <v>0</v>
      </c>
      <c r="BZ72" s="2221">
        <f t="shared" si="159"/>
        <v>0</v>
      </c>
      <c r="CA72" s="2221">
        <f t="shared" si="159"/>
        <v>0</v>
      </c>
      <c r="CB72" s="2220">
        <f t="shared" si="159"/>
        <v>0</v>
      </c>
      <c r="CC72" s="2220">
        <f t="shared" si="159"/>
        <v>42020000</v>
      </c>
      <c r="CD72" s="2221">
        <f t="shared" si="159"/>
        <v>42020000</v>
      </c>
      <c r="CE72" s="2221">
        <f t="shared" si="159"/>
        <v>0</v>
      </c>
      <c r="CF72" s="2220">
        <f t="shared" si="159"/>
        <v>290000</v>
      </c>
      <c r="CG72" s="2220">
        <f t="shared" si="159"/>
        <v>102000</v>
      </c>
      <c r="CH72" s="2221">
        <f t="shared" si="159"/>
        <v>102000</v>
      </c>
      <c r="CI72" s="2221">
        <f t="shared" si="159"/>
        <v>0</v>
      </c>
      <c r="CJ72" s="2220">
        <f>SUM(CJ60:CJ71)</f>
        <v>790000</v>
      </c>
      <c r="CK72" s="2221">
        <f t="shared" si="159"/>
        <v>790000</v>
      </c>
      <c r="CL72" s="2221">
        <f t="shared" si="159"/>
        <v>0</v>
      </c>
      <c r="CM72" s="2220">
        <f t="shared" si="159"/>
        <v>0</v>
      </c>
      <c r="CN72" s="2220">
        <f t="shared" si="159"/>
        <v>0</v>
      </c>
      <c r="CO72" s="2221">
        <f t="shared" si="159"/>
        <v>0</v>
      </c>
      <c r="CP72" s="2221">
        <f t="shared" si="159"/>
        <v>0</v>
      </c>
      <c r="CQ72" s="2220">
        <f t="shared" si="159"/>
        <v>0</v>
      </c>
      <c r="CR72" s="2221"/>
      <c r="CS72" s="2221"/>
      <c r="CT72" s="2220">
        <f>SUM(CT60:CT71)</f>
        <v>22800000</v>
      </c>
      <c r="CU72" s="2220">
        <f t="shared" ref="CU72:CV72" si="160">SUM(CU60:CU71)</f>
        <v>22800000</v>
      </c>
      <c r="CV72" s="2220">
        <f t="shared" si="160"/>
        <v>0</v>
      </c>
      <c r="CW72" s="2220">
        <f>SUM(CW60:CW71)</f>
        <v>0</v>
      </c>
      <c r="CX72" s="2220">
        <f t="shared" ref="CX72:CY72" si="161">SUM(CX60:CX71)</f>
        <v>0</v>
      </c>
      <c r="CY72" s="2220">
        <f t="shared" si="161"/>
        <v>0</v>
      </c>
      <c r="CZ72" s="2220">
        <f t="shared" ref="CZ72:ED72" si="162">SUM(CZ60:CZ71)</f>
        <v>0</v>
      </c>
      <c r="DA72" s="2221">
        <f t="shared" si="162"/>
        <v>0</v>
      </c>
      <c r="DB72" s="2221">
        <f t="shared" si="162"/>
        <v>0</v>
      </c>
      <c r="DC72" s="2220">
        <f t="shared" si="162"/>
        <v>0</v>
      </c>
      <c r="DD72" s="2220">
        <f t="shared" si="162"/>
        <v>0</v>
      </c>
      <c r="DE72" s="2221">
        <f t="shared" si="162"/>
        <v>0</v>
      </c>
      <c r="DF72" s="2221">
        <f t="shared" si="162"/>
        <v>0</v>
      </c>
      <c r="DG72" s="2220">
        <f t="shared" si="162"/>
        <v>0</v>
      </c>
      <c r="DH72" s="2221">
        <f t="shared" si="162"/>
        <v>0</v>
      </c>
      <c r="DI72" s="2221">
        <f t="shared" si="162"/>
        <v>0</v>
      </c>
      <c r="DJ72" s="2220">
        <f t="shared" si="162"/>
        <v>0</v>
      </c>
      <c r="DK72" s="2221">
        <f t="shared" si="162"/>
        <v>0</v>
      </c>
      <c r="DL72" s="2221">
        <f t="shared" si="162"/>
        <v>0</v>
      </c>
      <c r="DM72" s="2220">
        <f t="shared" si="162"/>
        <v>0</v>
      </c>
      <c r="DN72" s="2220">
        <f t="shared" si="162"/>
        <v>100000</v>
      </c>
      <c r="DO72" s="2221">
        <f t="shared" si="162"/>
        <v>100000</v>
      </c>
      <c r="DP72" s="2221">
        <f t="shared" si="162"/>
        <v>0</v>
      </c>
      <c r="DQ72" s="2221">
        <f t="shared" si="162"/>
        <v>0</v>
      </c>
      <c r="DR72" s="2220">
        <f t="shared" si="162"/>
        <v>60000</v>
      </c>
      <c r="DS72" s="2220">
        <f t="shared" si="162"/>
        <v>0</v>
      </c>
      <c r="DT72" s="2220">
        <f t="shared" si="162"/>
        <v>0</v>
      </c>
      <c r="DU72" s="2220">
        <f t="shared" si="162"/>
        <v>0</v>
      </c>
      <c r="DV72" s="2220">
        <f t="shared" si="162"/>
        <v>0</v>
      </c>
      <c r="DW72" s="2220">
        <f t="shared" si="162"/>
        <v>0</v>
      </c>
      <c r="DX72" s="2220">
        <f t="shared" si="162"/>
        <v>0</v>
      </c>
      <c r="DY72" s="2220">
        <f t="shared" si="162"/>
        <v>0</v>
      </c>
      <c r="DZ72" s="2221">
        <f t="shared" ref="DZ72:EA72" si="163">SUM(DZ60:DZ71)</f>
        <v>0</v>
      </c>
      <c r="EA72" s="2221">
        <f t="shared" si="163"/>
        <v>0</v>
      </c>
      <c r="EB72" s="2220">
        <f t="shared" si="162"/>
        <v>0</v>
      </c>
      <c r="EC72" s="2220">
        <f t="shared" si="162"/>
        <v>0</v>
      </c>
      <c r="ED72" s="2224">
        <f t="shared" si="162"/>
        <v>0</v>
      </c>
      <c r="EE72" s="2206"/>
      <c r="EF72" s="2165"/>
      <c r="EG72" s="2166"/>
      <c r="EH72" s="2218">
        <f>SUM(EH60:EH71)</f>
        <v>106077019.983556</v>
      </c>
      <c r="EI72" s="2166">
        <f t="shared" si="7"/>
        <v>0</v>
      </c>
      <c r="EJ72" s="2218">
        <f>SUM(EJ60:EJ71)</f>
        <v>7958080</v>
      </c>
      <c r="EL72" s="2208"/>
    </row>
    <row r="73" spans="1:142" outlineLevel="1">
      <c r="A73" s="2225"/>
      <c r="B73" s="2198"/>
      <c r="C73" s="2253"/>
      <c r="D73" s="2253"/>
      <c r="E73" s="2253"/>
      <c r="F73" s="2253"/>
      <c r="G73" s="2253"/>
      <c r="H73" s="2253"/>
      <c r="I73" s="2253"/>
      <c r="J73" s="2253"/>
      <c r="K73" s="2253"/>
      <c r="L73" s="2262"/>
      <c r="M73" s="2256"/>
      <c r="N73" s="2256"/>
      <c r="O73" s="2256"/>
      <c r="P73" s="2256"/>
      <c r="Q73" s="2256"/>
      <c r="R73" s="2256"/>
      <c r="S73" s="2256"/>
      <c r="T73" s="2256">
        <f t="shared" ref="T73:T74" si="164">+U73+V73</f>
        <v>0</v>
      </c>
      <c r="U73" s="2257"/>
      <c r="V73" s="2258"/>
      <c r="W73" s="2256"/>
      <c r="X73" s="2259">
        <f t="shared" ref="X73:X74" si="165">+V73+AW73+CL73+CI73+CE73+DQ73+AK73+AQ73+AZ73+BI73+BO73+BR73+BU73+BX73+CA73+CP73+DB73+DF73+DI73+DL73+AN73+EA73</f>
        <v>0</v>
      </c>
      <c r="Y73" s="2256"/>
      <c r="Z73" s="2256"/>
      <c r="AA73" s="2256"/>
      <c r="AB73" s="2256"/>
      <c r="AC73" s="2256"/>
      <c r="AD73" s="2256"/>
      <c r="AE73" s="2256"/>
      <c r="AF73" s="2256"/>
      <c r="AG73" s="2256"/>
      <c r="AH73" s="2256"/>
      <c r="AI73" s="2256">
        <f t="shared" ref="AI73:AI74" si="166">+AJ73+AK73</f>
        <v>0</v>
      </c>
      <c r="AJ73" s="2257"/>
      <c r="AK73" s="2257"/>
      <c r="AL73" s="2256">
        <f t="shared" ref="AL73:AL74" si="167">+AM73+AN73</f>
        <v>0</v>
      </c>
      <c r="AM73" s="2257"/>
      <c r="AN73" s="2257"/>
      <c r="AO73" s="2256">
        <f t="shared" ref="AO73:AO74" si="168">+AP73+AQ73</f>
        <v>0</v>
      </c>
      <c r="AP73" s="2257"/>
      <c r="AQ73" s="2257"/>
      <c r="AR73" s="2256"/>
      <c r="AS73" s="2256"/>
      <c r="AT73" s="2256"/>
      <c r="AU73" s="2256">
        <f t="shared" ref="AU73:AU74" si="169">+AV73+AW73</f>
        <v>0</v>
      </c>
      <c r="AV73" s="2257"/>
      <c r="AW73" s="2257"/>
      <c r="AX73" s="2256">
        <f t="shared" ref="AX73:AX74" si="170">+AY73+AZ73</f>
        <v>0</v>
      </c>
      <c r="AY73" s="2257"/>
      <c r="AZ73" s="2257"/>
      <c r="BA73" s="2256">
        <f t="shared" ref="BA73:BA74" si="171">+BB73+BC73</f>
        <v>0</v>
      </c>
      <c r="BB73" s="2257"/>
      <c r="BC73" s="2257"/>
      <c r="BD73" s="2256">
        <f t="shared" ref="BD73:BD74" si="172">+BE73+BF73</f>
        <v>0</v>
      </c>
      <c r="BE73" s="2257"/>
      <c r="BF73" s="2257"/>
      <c r="BG73" s="2256">
        <f t="shared" ref="BG73:BG74" si="173">+BH73+BI73</f>
        <v>0</v>
      </c>
      <c r="BH73" s="2257"/>
      <c r="BI73" s="2257"/>
      <c r="BJ73" s="2256">
        <f t="shared" ref="BJ73:BJ74" si="174">+BK73+BL73</f>
        <v>0</v>
      </c>
      <c r="BK73" s="2257"/>
      <c r="BL73" s="2257"/>
      <c r="BM73" s="2256">
        <f t="shared" ref="BM73:BM74" si="175">+BN73+BO73</f>
        <v>0</v>
      </c>
      <c r="BN73" s="2257"/>
      <c r="BO73" s="2257"/>
      <c r="BP73" s="2256">
        <f t="shared" ref="BP73:BP74" si="176">+BQ73+BR73</f>
        <v>0</v>
      </c>
      <c r="BQ73" s="2257"/>
      <c r="BR73" s="2257"/>
      <c r="BS73" s="2256">
        <f t="shared" ref="BS73:BS74" si="177">+BT73+BU73</f>
        <v>0</v>
      </c>
      <c r="BT73" s="2257"/>
      <c r="BU73" s="2257"/>
      <c r="BV73" s="2256">
        <f t="shared" ref="BV73:BV74" si="178">+BW73+BX73</f>
        <v>0</v>
      </c>
      <c r="BW73" s="2257"/>
      <c r="BX73" s="2257"/>
      <c r="BY73" s="2256">
        <f t="shared" ref="BY73:BY74" si="179">+BZ73+CA73</f>
        <v>0</v>
      </c>
      <c r="BZ73" s="2257"/>
      <c r="CA73" s="2257"/>
      <c r="CB73" s="2256"/>
      <c r="CC73" s="2256">
        <f t="shared" ref="CC73:CC74" si="180">+CD73+CE73</f>
        <v>0</v>
      </c>
      <c r="CD73" s="2257"/>
      <c r="CE73" s="2257"/>
      <c r="CF73" s="2256"/>
      <c r="CG73" s="2256">
        <f t="shared" ref="CG73:CG74" si="181">+CH73+CI73</f>
        <v>0</v>
      </c>
      <c r="CH73" s="2257"/>
      <c r="CI73" s="2257"/>
      <c r="CJ73" s="2256">
        <f t="shared" ref="CJ73:CJ74" si="182">+CK73+CL73</f>
        <v>0</v>
      </c>
      <c r="CK73" s="2257"/>
      <c r="CL73" s="2257"/>
      <c r="CM73" s="2256"/>
      <c r="CN73" s="2256">
        <f t="shared" ref="CN73:CN74" si="183">+CO73+CP73</f>
        <v>0</v>
      </c>
      <c r="CO73" s="2257"/>
      <c r="CP73" s="2257"/>
      <c r="CQ73" s="2256"/>
      <c r="CR73" s="2257"/>
      <c r="CS73" s="2257"/>
      <c r="CT73" s="2256"/>
      <c r="CU73" s="2257"/>
      <c r="CV73" s="2257"/>
      <c r="CW73" s="2256"/>
      <c r="CX73" s="2256"/>
      <c r="CY73" s="2256"/>
      <c r="CZ73" s="2256">
        <f t="shared" ref="CZ73:CZ74" si="184">+DA73+DB73</f>
        <v>0</v>
      </c>
      <c r="DA73" s="2257"/>
      <c r="DB73" s="2257"/>
      <c r="DC73" s="2256"/>
      <c r="DD73" s="2256">
        <f t="shared" ref="DD73:DD74" si="185">+DE73+DF73</f>
        <v>0</v>
      </c>
      <c r="DE73" s="2257"/>
      <c r="DF73" s="2257"/>
      <c r="DG73" s="2256">
        <f t="shared" ref="DG73:DG74" si="186">+DH73+DI73</f>
        <v>0</v>
      </c>
      <c r="DH73" s="2257"/>
      <c r="DI73" s="2257"/>
      <c r="DJ73" s="2256">
        <f t="shared" ref="DJ73:DJ74" si="187">+DK73+DL73</f>
        <v>0</v>
      </c>
      <c r="DK73" s="2257"/>
      <c r="DL73" s="2257"/>
      <c r="DM73" s="2256"/>
      <c r="DN73" s="2256">
        <f t="shared" ref="DN73:DN74" si="188">+DO73+DP73+DQ73</f>
        <v>0</v>
      </c>
      <c r="DO73" s="2257"/>
      <c r="DP73" s="2257"/>
      <c r="DQ73" s="2257"/>
      <c r="DR73" s="2256"/>
      <c r="DS73" s="2256"/>
      <c r="DT73" s="2256"/>
      <c r="DU73" s="2256"/>
      <c r="DV73" s="2256"/>
      <c r="DW73" s="2256"/>
      <c r="DX73" s="2256"/>
      <c r="DY73" s="2256"/>
      <c r="DZ73" s="2257"/>
      <c r="EA73" s="2257"/>
      <c r="EB73" s="2256"/>
      <c r="EC73" s="2256"/>
      <c r="ED73" s="2260"/>
      <c r="EE73" s="2206">
        <f t="shared" ref="EE73:EE74" si="189">+L73+M73+N73+P73+R73+S73+T73+W73+X73+Y73+AA73+AB73+AC73+AF73+AG73+AH73+AI73+AL73+AO73+AR73+AS73+AT73+AU73+AX73+BG73+BM73+BP73+BS73+BV73+BY73+CB73+CC73+CF73+CG73+CJ73+CM73+CN73+CQ73+CT73+CW73+CZ73+DC73+DD73+DG73+DJ73+DM73+DN73+DR73+DS73+DT73+DU73+DV73+DX73+DY73+EB73+EC73+ED73+BJ73+BD73+BA73+AD73-X73+O73+Q73+Z73</f>
        <v>0</v>
      </c>
      <c r="EF73" s="2165">
        <f t="shared" si="77"/>
        <v>0</v>
      </c>
      <c r="EG73" s="2166"/>
      <c r="EH73" s="2253">
        <f t="shared" ref="EH73:EH74" si="190">+K73-EJ73</f>
        <v>0</v>
      </c>
      <c r="EI73" s="2166">
        <f t="shared" si="7"/>
        <v>0</v>
      </c>
      <c r="EJ73" s="2253"/>
      <c r="EL73" s="2208"/>
    </row>
    <row r="74" spans="1:142" outlineLevel="1">
      <c r="A74" s="2263" t="s">
        <v>115</v>
      </c>
      <c r="B74" s="2264" t="s">
        <v>116</v>
      </c>
      <c r="C74" s="2240">
        <v>19114264</v>
      </c>
      <c r="D74" s="2240">
        <v>8480967</v>
      </c>
      <c r="E74" s="2240">
        <v>8480967</v>
      </c>
      <c r="F74" s="2240">
        <v>8480967</v>
      </c>
      <c r="G74" s="2240">
        <v>8480967</v>
      </c>
      <c r="H74" s="2240">
        <v>8480967</v>
      </c>
      <c r="I74" s="2240">
        <v>8480967</v>
      </c>
      <c r="J74" s="2240">
        <v>9533997</v>
      </c>
      <c r="K74" s="2240">
        <f>SUM(L74:T74)+SUM(Y74:AI74)+AL74+AO74+SUM(AR74:AU74)+AX74+BG74+BM74+BP74+BS74+BV74+BY74+CB74+CC74+CF74+CG74+CJ74+SUM(CM74:CN74)+CW74+CZ74+DC74+DD74+DG74+DJ74+DM74+DN74+SUM(DR74:DY74)+CQ74+CT74+SUM(EB74:ED74)+W74+BA74+BD74</f>
        <v>9950674</v>
      </c>
      <c r="L74" s="2292"/>
      <c r="M74" s="2242">
        <f>+'[7]Splátky jistiny'!$B$12</f>
        <v>9950674</v>
      </c>
      <c r="N74" s="2242"/>
      <c r="O74" s="2242"/>
      <c r="P74" s="2293"/>
      <c r="Q74" s="2293"/>
      <c r="R74" s="2293"/>
      <c r="S74" s="2293"/>
      <c r="T74" s="2293">
        <f t="shared" si="164"/>
        <v>0</v>
      </c>
      <c r="U74" s="2294"/>
      <c r="V74" s="2295"/>
      <c r="W74" s="2293"/>
      <c r="X74" s="2296">
        <f t="shared" si="165"/>
        <v>0</v>
      </c>
      <c r="Y74" s="2293"/>
      <c r="Z74" s="2293"/>
      <c r="AA74" s="2293"/>
      <c r="AB74" s="2293"/>
      <c r="AC74" s="2293"/>
      <c r="AD74" s="2293"/>
      <c r="AE74" s="2293"/>
      <c r="AF74" s="2293"/>
      <c r="AG74" s="2293"/>
      <c r="AH74" s="2293"/>
      <c r="AI74" s="2293">
        <f t="shared" si="166"/>
        <v>0</v>
      </c>
      <c r="AJ74" s="2294"/>
      <c r="AK74" s="2294"/>
      <c r="AL74" s="2293">
        <f t="shared" si="167"/>
        <v>0</v>
      </c>
      <c r="AM74" s="2294"/>
      <c r="AN74" s="2294"/>
      <c r="AO74" s="2293">
        <f t="shared" si="168"/>
        <v>0</v>
      </c>
      <c r="AP74" s="2294"/>
      <c r="AQ74" s="2294"/>
      <c r="AR74" s="2293"/>
      <c r="AS74" s="2293"/>
      <c r="AT74" s="2293"/>
      <c r="AU74" s="2293">
        <f t="shared" si="169"/>
        <v>0</v>
      </c>
      <c r="AV74" s="2294"/>
      <c r="AW74" s="2294"/>
      <c r="AX74" s="2293">
        <f t="shared" si="170"/>
        <v>0</v>
      </c>
      <c r="AY74" s="2294"/>
      <c r="AZ74" s="2294"/>
      <c r="BA74" s="2293">
        <f t="shared" si="171"/>
        <v>0</v>
      </c>
      <c r="BB74" s="2294"/>
      <c r="BC74" s="2294"/>
      <c r="BD74" s="2293">
        <f t="shared" si="172"/>
        <v>0</v>
      </c>
      <c r="BE74" s="2294"/>
      <c r="BF74" s="2294"/>
      <c r="BG74" s="2293">
        <f t="shared" si="173"/>
        <v>0</v>
      </c>
      <c r="BH74" s="2294"/>
      <c r="BI74" s="2294"/>
      <c r="BJ74" s="2293">
        <f t="shared" si="174"/>
        <v>0</v>
      </c>
      <c r="BK74" s="2294"/>
      <c r="BL74" s="2294"/>
      <c r="BM74" s="2293">
        <f t="shared" si="175"/>
        <v>0</v>
      </c>
      <c r="BN74" s="2294"/>
      <c r="BO74" s="2294"/>
      <c r="BP74" s="2293">
        <f t="shared" si="176"/>
        <v>0</v>
      </c>
      <c r="BQ74" s="2294"/>
      <c r="BR74" s="2294"/>
      <c r="BS74" s="2293">
        <f t="shared" si="177"/>
        <v>0</v>
      </c>
      <c r="BT74" s="2294"/>
      <c r="BU74" s="2294"/>
      <c r="BV74" s="2293">
        <f t="shared" si="178"/>
        <v>0</v>
      </c>
      <c r="BW74" s="2294"/>
      <c r="BX74" s="2294"/>
      <c r="BY74" s="2293">
        <f t="shared" si="179"/>
        <v>0</v>
      </c>
      <c r="BZ74" s="2294"/>
      <c r="CA74" s="2294"/>
      <c r="CB74" s="2293"/>
      <c r="CC74" s="2293">
        <f t="shared" si="180"/>
        <v>0</v>
      </c>
      <c r="CD74" s="2294"/>
      <c r="CE74" s="2294"/>
      <c r="CF74" s="2293"/>
      <c r="CG74" s="2293">
        <f t="shared" si="181"/>
        <v>0</v>
      </c>
      <c r="CH74" s="2294"/>
      <c r="CI74" s="2294"/>
      <c r="CJ74" s="2293">
        <f t="shared" si="182"/>
        <v>0</v>
      </c>
      <c r="CK74" s="2294"/>
      <c r="CL74" s="2294"/>
      <c r="CM74" s="2293"/>
      <c r="CN74" s="2293">
        <f t="shared" si="183"/>
        <v>0</v>
      </c>
      <c r="CO74" s="2294"/>
      <c r="CP74" s="2294"/>
      <c r="CQ74" s="2293"/>
      <c r="CR74" s="2294"/>
      <c r="CS74" s="2294"/>
      <c r="CT74" s="2293"/>
      <c r="CU74" s="2294"/>
      <c r="CV74" s="2294"/>
      <c r="CW74" s="2293"/>
      <c r="CX74" s="2293"/>
      <c r="CY74" s="2293"/>
      <c r="CZ74" s="2293">
        <f t="shared" si="184"/>
        <v>0</v>
      </c>
      <c r="DA74" s="2294"/>
      <c r="DB74" s="2294"/>
      <c r="DC74" s="2293"/>
      <c r="DD74" s="2293">
        <f t="shared" si="185"/>
        <v>0</v>
      </c>
      <c r="DE74" s="2294"/>
      <c r="DF74" s="2294"/>
      <c r="DG74" s="2293">
        <f t="shared" si="186"/>
        <v>0</v>
      </c>
      <c r="DH74" s="2294"/>
      <c r="DI74" s="2294"/>
      <c r="DJ74" s="2293">
        <f t="shared" si="187"/>
        <v>0</v>
      </c>
      <c r="DK74" s="2294"/>
      <c r="DL74" s="2294"/>
      <c r="DM74" s="2293"/>
      <c r="DN74" s="2293">
        <f t="shared" si="188"/>
        <v>0</v>
      </c>
      <c r="DO74" s="2294"/>
      <c r="DP74" s="2294"/>
      <c r="DQ74" s="2294"/>
      <c r="DR74" s="2293"/>
      <c r="DS74" s="2293"/>
      <c r="DT74" s="2293"/>
      <c r="DU74" s="2293"/>
      <c r="DV74" s="2293"/>
      <c r="DW74" s="2293"/>
      <c r="DX74" s="2293"/>
      <c r="DY74" s="2293"/>
      <c r="DZ74" s="2294"/>
      <c r="EA74" s="2294"/>
      <c r="EB74" s="2293"/>
      <c r="EC74" s="2293"/>
      <c r="ED74" s="2297"/>
      <c r="EE74" s="2206">
        <f t="shared" si="189"/>
        <v>9950674</v>
      </c>
      <c r="EF74" s="2165">
        <f t="shared" si="77"/>
        <v>0</v>
      </c>
      <c r="EG74" s="2166"/>
      <c r="EH74" s="2240">
        <f t="shared" si="190"/>
        <v>9950674</v>
      </c>
      <c r="EI74" s="2166">
        <f t="shared" si="7"/>
        <v>0</v>
      </c>
      <c r="EJ74" s="2240"/>
      <c r="EL74" s="2208"/>
    </row>
    <row r="75" spans="1:142" ht="16.5" customHeight="1" thickBot="1">
      <c r="A75" s="2216" t="s">
        <v>117</v>
      </c>
      <c r="B75" s="2217" t="s">
        <v>116</v>
      </c>
      <c r="C75" s="2218">
        <v>19114264</v>
      </c>
      <c r="D75" s="2218">
        <v>8480967</v>
      </c>
      <c r="E75" s="2218">
        <v>8480967</v>
      </c>
      <c r="F75" s="2218">
        <v>8480967</v>
      </c>
      <c r="G75" s="2218">
        <v>8480967</v>
      </c>
      <c r="H75" s="2218">
        <v>8480967</v>
      </c>
      <c r="I75" s="2218">
        <v>8480967</v>
      </c>
      <c r="J75" s="2218">
        <v>9533997</v>
      </c>
      <c r="K75" s="2218">
        <f>+K74</f>
        <v>9950674</v>
      </c>
      <c r="L75" s="2219">
        <f t="shared" ref="L75:ED75" si="191">+L74</f>
        <v>0</v>
      </c>
      <c r="M75" s="2220">
        <f t="shared" si="191"/>
        <v>9950674</v>
      </c>
      <c r="N75" s="2220">
        <f t="shared" si="191"/>
        <v>0</v>
      </c>
      <c r="O75" s="2220">
        <f t="shared" si="191"/>
        <v>0</v>
      </c>
      <c r="P75" s="2220">
        <f t="shared" si="191"/>
        <v>0</v>
      </c>
      <c r="Q75" s="2220">
        <f t="shared" ref="Q75" si="192">+Q74</f>
        <v>0</v>
      </c>
      <c r="R75" s="2220">
        <f t="shared" si="191"/>
        <v>0</v>
      </c>
      <c r="S75" s="2220">
        <f t="shared" ref="S75" si="193">+S74</f>
        <v>0</v>
      </c>
      <c r="T75" s="2220">
        <f t="shared" si="191"/>
        <v>0</v>
      </c>
      <c r="U75" s="2221">
        <f>+U74</f>
        <v>0</v>
      </c>
      <c r="V75" s="2222">
        <f>+V74</f>
        <v>0</v>
      </c>
      <c r="W75" s="2220">
        <f t="shared" ref="W75" si="194">+W74</f>
        <v>0</v>
      </c>
      <c r="X75" s="2223">
        <f t="shared" si="191"/>
        <v>0</v>
      </c>
      <c r="Y75" s="2220">
        <f t="shared" si="191"/>
        <v>0</v>
      </c>
      <c r="Z75" s="2220">
        <f t="shared" ref="Z75" si="195">+Z74</f>
        <v>0</v>
      </c>
      <c r="AA75" s="2220">
        <f t="shared" si="191"/>
        <v>0</v>
      </c>
      <c r="AB75" s="2220">
        <f t="shared" si="191"/>
        <v>0</v>
      </c>
      <c r="AC75" s="2220">
        <f t="shared" si="191"/>
        <v>0</v>
      </c>
      <c r="AD75" s="2220">
        <f t="shared" ref="AD75:AE75" si="196">+AD74</f>
        <v>0</v>
      </c>
      <c r="AE75" s="2220">
        <f t="shared" si="196"/>
        <v>0</v>
      </c>
      <c r="AF75" s="2220">
        <f t="shared" si="191"/>
        <v>0</v>
      </c>
      <c r="AG75" s="2220">
        <f t="shared" si="191"/>
        <v>0</v>
      </c>
      <c r="AH75" s="2220">
        <f t="shared" si="191"/>
        <v>0</v>
      </c>
      <c r="AI75" s="2220">
        <f t="shared" si="191"/>
        <v>0</v>
      </c>
      <c r="AJ75" s="2221">
        <f>+AJ74</f>
        <v>0</v>
      </c>
      <c r="AK75" s="2221">
        <f>+AK74</f>
        <v>0</v>
      </c>
      <c r="AL75" s="2220">
        <f t="shared" si="191"/>
        <v>0</v>
      </c>
      <c r="AM75" s="2221">
        <f>+AM74</f>
        <v>0</v>
      </c>
      <c r="AN75" s="2221">
        <f>+AN74</f>
        <v>0</v>
      </c>
      <c r="AO75" s="2220">
        <f t="shared" si="191"/>
        <v>0</v>
      </c>
      <c r="AP75" s="2221">
        <f>+AP74</f>
        <v>0</v>
      </c>
      <c r="AQ75" s="2221">
        <f>+AQ74</f>
        <v>0</v>
      </c>
      <c r="AR75" s="2220">
        <f t="shared" si="191"/>
        <v>0</v>
      </c>
      <c r="AS75" s="2220">
        <f t="shared" si="191"/>
        <v>0</v>
      </c>
      <c r="AT75" s="2220">
        <f t="shared" si="191"/>
        <v>0</v>
      </c>
      <c r="AU75" s="2220">
        <f t="shared" si="191"/>
        <v>0</v>
      </c>
      <c r="AV75" s="2221">
        <f>+AV74</f>
        <v>0</v>
      </c>
      <c r="AW75" s="2221">
        <f>+AW74</f>
        <v>0</v>
      </c>
      <c r="AX75" s="2220">
        <f t="shared" si="191"/>
        <v>0</v>
      </c>
      <c r="AY75" s="2221">
        <f>+AY74</f>
        <v>0</v>
      </c>
      <c r="AZ75" s="2221">
        <f>+AZ74</f>
        <v>0</v>
      </c>
      <c r="BA75" s="2220">
        <f t="shared" ref="BA75" si="197">+BA74</f>
        <v>0</v>
      </c>
      <c r="BB75" s="2221">
        <f>+BB74</f>
        <v>0</v>
      </c>
      <c r="BC75" s="2221">
        <f>+BC74</f>
        <v>0</v>
      </c>
      <c r="BD75" s="2220">
        <f t="shared" ref="BD75" si="198">+BD74</f>
        <v>0</v>
      </c>
      <c r="BE75" s="2221">
        <f>+BE74</f>
        <v>0</v>
      </c>
      <c r="BF75" s="2221">
        <f>+BF74</f>
        <v>0</v>
      </c>
      <c r="BG75" s="2220">
        <f t="shared" si="191"/>
        <v>0</v>
      </c>
      <c r="BH75" s="2221">
        <f t="shared" si="191"/>
        <v>0</v>
      </c>
      <c r="BI75" s="2221">
        <f t="shared" si="191"/>
        <v>0</v>
      </c>
      <c r="BJ75" s="2220">
        <f t="shared" ref="BJ75:BL75" si="199">+BJ74</f>
        <v>0</v>
      </c>
      <c r="BK75" s="2221">
        <f t="shared" si="199"/>
        <v>0</v>
      </c>
      <c r="BL75" s="2221">
        <f t="shared" si="199"/>
        <v>0</v>
      </c>
      <c r="BM75" s="2220">
        <f t="shared" si="191"/>
        <v>0</v>
      </c>
      <c r="BN75" s="2221">
        <f t="shared" si="191"/>
        <v>0</v>
      </c>
      <c r="BO75" s="2221">
        <f t="shared" si="191"/>
        <v>0</v>
      </c>
      <c r="BP75" s="2220">
        <f t="shared" si="191"/>
        <v>0</v>
      </c>
      <c r="BQ75" s="2221">
        <f t="shared" si="191"/>
        <v>0</v>
      </c>
      <c r="BR75" s="2221">
        <f t="shared" si="191"/>
        <v>0</v>
      </c>
      <c r="BS75" s="2220">
        <f t="shared" si="191"/>
        <v>0</v>
      </c>
      <c r="BT75" s="2221">
        <f t="shared" si="191"/>
        <v>0</v>
      </c>
      <c r="BU75" s="2221">
        <f t="shared" si="191"/>
        <v>0</v>
      </c>
      <c r="BV75" s="2220">
        <f t="shared" si="191"/>
        <v>0</v>
      </c>
      <c r="BW75" s="2221">
        <f t="shared" si="191"/>
        <v>0</v>
      </c>
      <c r="BX75" s="2221">
        <f t="shared" si="191"/>
        <v>0</v>
      </c>
      <c r="BY75" s="2220">
        <f t="shared" si="191"/>
        <v>0</v>
      </c>
      <c r="BZ75" s="2221">
        <f t="shared" si="191"/>
        <v>0</v>
      </c>
      <c r="CA75" s="2221">
        <f t="shared" si="191"/>
        <v>0</v>
      </c>
      <c r="CB75" s="2220">
        <f t="shared" si="191"/>
        <v>0</v>
      </c>
      <c r="CC75" s="2220">
        <f>+CC74</f>
        <v>0</v>
      </c>
      <c r="CD75" s="2221">
        <f>+CD74</f>
        <v>0</v>
      </c>
      <c r="CE75" s="2221">
        <f>+CE74</f>
        <v>0</v>
      </c>
      <c r="CF75" s="2220">
        <f t="shared" si="191"/>
        <v>0</v>
      </c>
      <c r="CG75" s="2220">
        <f t="shared" si="191"/>
        <v>0</v>
      </c>
      <c r="CH75" s="2221">
        <f t="shared" si="191"/>
        <v>0</v>
      </c>
      <c r="CI75" s="2221">
        <f t="shared" si="191"/>
        <v>0</v>
      </c>
      <c r="CJ75" s="2220">
        <f t="shared" si="191"/>
        <v>0</v>
      </c>
      <c r="CK75" s="2221">
        <f>+CK74</f>
        <v>0</v>
      </c>
      <c r="CL75" s="2221">
        <f>+CL74</f>
        <v>0</v>
      </c>
      <c r="CM75" s="2220">
        <f t="shared" si="191"/>
        <v>0</v>
      </c>
      <c r="CN75" s="2220">
        <f t="shared" si="191"/>
        <v>0</v>
      </c>
      <c r="CO75" s="2221">
        <f t="shared" si="191"/>
        <v>0</v>
      </c>
      <c r="CP75" s="2221">
        <f t="shared" si="191"/>
        <v>0</v>
      </c>
      <c r="CQ75" s="2220">
        <f t="shared" si="191"/>
        <v>0</v>
      </c>
      <c r="CR75" s="2221"/>
      <c r="CS75" s="2221"/>
      <c r="CT75" s="2220">
        <f t="shared" si="191"/>
        <v>0</v>
      </c>
      <c r="CU75" s="2220">
        <f t="shared" ref="CU75:CV75" si="200">+CU74</f>
        <v>0</v>
      </c>
      <c r="CV75" s="2220">
        <f t="shared" si="200"/>
        <v>0</v>
      </c>
      <c r="CW75" s="2220">
        <f t="shared" si="191"/>
        <v>0</v>
      </c>
      <c r="CX75" s="2220">
        <f t="shared" ref="CX75:CY75" si="201">+CX74</f>
        <v>0</v>
      </c>
      <c r="CY75" s="2220">
        <f t="shared" si="201"/>
        <v>0</v>
      </c>
      <c r="CZ75" s="2220">
        <f t="shared" si="191"/>
        <v>0</v>
      </c>
      <c r="DA75" s="2221">
        <f>+DA74</f>
        <v>0</v>
      </c>
      <c r="DB75" s="2221">
        <f>+DB74</f>
        <v>0</v>
      </c>
      <c r="DC75" s="2220">
        <f t="shared" si="191"/>
        <v>0</v>
      </c>
      <c r="DD75" s="2220">
        <f t="shared" si="191"/>
        <v>0</v>
      </c>
      <c r="DE75" s="2221">
        <f>+DE74</f>
        <v>0</v>
      </c>
      <c r="DF75" s="2221">
        <f>+DF74</f>
        <v>0</v>
      </c>
      <c r="DG75" s="2220">
        <f t="shared" si="191"/>
        <v>0</v>
      </c>
      <c r="DH75" s="2221">
        <f>+DH74</f>
        <v>0</v>
      </c>
      <c r="DI75" s="2221">
        <f>+DI74</f>
        <v>0</v>
      </c>
      <c r="DJ75" s="2220">
        <f t="shared" si="191"/>
        <v>0</v>
      </c>
      <c r="DK75" s="2221">
        <f>+DK74</f>
        <v>0</v>
      </c>
      <c r="DL75" s="2221">
        <f>+DL74</f>
        <v>0</v>
      </c>
      <c r="DM75" s="2220">
        <f t="shared" si="191"/>
        <v>0</v>
      </c>
      <c r="DN75" s="2220">
        <f t="shared" si="191"/>
        <v>0</v>
      </c>
      <c r="DO75" s="2221">
        <f t="shared" ref="DO75:DX75" si="202">+DO74</f>
        <v>0</v>
      </c>
      <c r="DP75" s="2221">
        <f t="shared" si="202"/>
        <v>0</v>
      </c>
      <c r="DQ75" s="2221">
        <f t="shared" si="202"/>
        <v>0</v>
      </c>
      <c r="DR75" s="2220">
        <f t="shared" si="202"/>
        <v>0</v>
      </c>
      <c r="DS75" s="2220">
        <f t="shared" ref="DS75:DU75" si="203">+DS74</f>
        <v>0</v>
      </c>
      <c r="DT75" s="2220">
        <f t="shared" si="203"/>
        <v>0</v>
      </c>
      <c r="DU75" s="2220">
        <f t="shared" si="203"/>
        <v>0</v>
      </c>
      <c r="DV75" s="2220">
        <f t="shared" si="202"/>
        <v>0</v>
      </c>
      <c r="DW75" s="2220">
        <f t="shared" si="202"/>
        <v>0</v>
      </c>
      <c r="DX75" s="2220">
        <f t="shared" si="202"/>
        <v>0</v>
      </c>
      <c r="DY75" s="2220">
        <f t="shared" si="191"/>
        <v>0</v>
      </c>
      <c r="DZ75" s="2221">
        <f t="shared" si="191"/>
        <v>0</v>
      </c>
      <c r="EA75" s="2221">
        <f t="shared" si="191"/>
        <v>0</v>
      </c>
      <c r="EB75" s="2220">
        <f t="shared" si="191"/>
        <v>0</v>
      </c>
      <c r="EC75" s="2220">
        <f t="shared" si="191"/>
        <v>0</v>
      </c>
      <c r="ED75" s="2224">
        <f t="shared" si="191"/>
        <v>0</v>
      </c>
      <c r="EE75" s="2206">
        <f t="shared" si="50"/>
        <v>9950674</v>
      </c>
      <c r="EF75" s="2165">
        <f t="shared" si="77"/>
        <v>0</v>
      </c>
      <c r="EG75" s="2166"/>
      <c r="EH75" s="2218">
        <f>+EH74</f>
        <v>9950674</v>
      </c>
      <c r="EI75" s="2166">
        <f t="shared" si="7"/>
        <v>0</v>
      </c>
      <c r="EJ75" s="2218">
        <f>+EJ74</f>
        <v>0</v>
      </c>
      <c r="EL75" s="2208"/>
    </row>
    <row r="76" spans="1:142" ht="15" thickBot="1">
      <c r="A76" s="2263">
        <v>8115</v>
      </c>
      <c r="B76" s="2298" t="s">
        <v>118</v>
      </c>
      <c r="C76" s="2253">
        <v>0</v>
      </c>
      <c r="D76" s="2253">
        <v>0</v>
      </c>
      <c r="E76" s="2253">
        <v>0</v>
      </c>
      <c r="F76" s="2253">
        <v>0</v>
      </c>
      <c r="G76" s="2253">
        <v>0</v>
      </c>
      <c r="H76" s="2253">
        <v>0</v>
      </c>
      <c r="I76" s="2253">
        <v>0</v>
      </c>
      <c r="J76" s="2253">
        <v>0</v>
      </c>
      <c r="K76" s="2253">
        <f>SUM(L76:T76)+SUM(X76:AI76)+AL76+AO76+SUM(AR76:AU76)+AX76+BG76+BM76+BP76+BS76+BV76+BY76+CB76+CC76+CF76+CG76+CJ76+SUM(CM76:CN76)+CW76+CZ76+DC76+DD76+DG76+DJ76+DM76+DN76+SUM(DR76:ED76)+CQ76+CT76</f>
        <v>0</v>
      </c>
      <c r="L76" s="2262"/>
      <c r="M76" s="2256"/>
      <c r="N76" s="2256"/>
      <c r="O76" s="2256"/>
      <c r="P76" s="2256"/>
      <c r="Q76" s="2256"/>
      <c r="R76" s="2256"/>
      <c r="S76" s="2256"/>
      <c r="T76" s="2256"/>
      <c r="U76" s="2257"/>
      <c r="V76" s="2258"/>
      <c r="W76" s="2256"/>
      <c r="X76" s="2259"/>
      <c r="Y76" s="2256"/>
      <c r="Z76" s="2256"/>
      <c r="AA76" s="2256"/>
      <c r="AB76" s="2256"/>
      <c r="AC76" s="2256"/>
      <c r="AD76" s="2256"/>
      <c r="AE76" s="2256"/>
      <c r="AF76" s="2256"/>
      <c r="AG76" s="2256"/>
      <c r="AH76" s="2256"/>
      <c r="AI76" s="2256">
        <f>+AJ76+AK76</f>
        <v>0</v>
      </c>
      <c r="AJ76" s="2257"/>
      <c r="AK76" s="2257"/>
      <c r="AL76" s="2256"/>
      <c r="AM76" s="2257"/>
      <c r="AN76" s="2257"/>
      <c r="AO76" s="2256"/>
      <c r="AP76" s="2257"/>
      <c r="AQ76" s="2257"/>
      <c r="AR76" s="2256"/>
      <c r="AS76" s="2256"/>
      <c r="AT76" s="2256"/>
      <c r="AU76" s="2256"/>
      <c r="AV76" s="2257"/>
      <c r="AW76" s="2257"/>
      <c r="AX76" s="2256"/>
      <c r="AY76" s="2257"/>
      <c r="AZ76" s="2257"/>
      <c r="BA76" s="2256"/>
      <c r="BB76" s="2257"/>
      <c r="BC76" s="2257"/>
      <c r="BD76" s="2256"/>
      <c r="BE76" s="2257"/>
      <c r="BF76" s="2257"/>
      <c r="BG76" s="2256"/>
      <c r="BH76" s="2257"/>
      <c r="BI76" s="2257"/>
      <c r="BJ76" s="2256"/>
      <c r="BK76" s="2257"/>
      <c r="BL76" s="2257"/>
      <c r="BM76" s="2256"/>
      <c r="BN76" s="2257"/>
      <c r="BO76" s="2257"/>
      <c r="BP76" s="2256"/>
      <c r="BQ76" s="2257"/>
      <c r="BR76" s="2257"/>
      <c r="BS76" s="2256"/>
      <c r="BT76" s="2257"/>
      <c r="BU76" s="2257"/>
      <c r="BV76" s="2256"/>
      <c r="BW76" s="2257"/>
      <c r="BX76" s="2257"/>
      <c r="BY76" s="2256"/>
      <c r="BZ76" s="2257"/>
      <c r="CA76" s="2257"/>
      <c r="CB76" s="2256"/>
      <c r="CC76" s="2256"/>
      <c r="CD76" s="2257"/>
      <c r="CE76" s="2257"/>
      <c r="CF76" s="2256"/>
      <c r="CG76" s="2256"/>
      <c r="CH76" s="2257"/>
      <c r="CI76" s="2257"/>
      <c r="CJ76" s="2256"/>
      <c r="CK76" s="2257"/>
      <c r="CL76" s="2257"/>
      <c r="CM76" s="2256"/>
      <c r="CN76" s="2256"/>
      <c r="CO76" s="2257"/>
      <c r="CP76" s="2257"/>
      <c r="CQ76" s="2256"/>
      <c r="CR76" s="2257"/>
      <c r="CS76" s="2257"/>
      <c r="CT76" s="2256"/>
      <c r="CU76" s="2256"/>
      <c r="CV76" s="2256"/>
      <c r="CW76" s="2256"/>
      <c r="CX76" s="2256"/>
      <c r="CY76" s="2256"/>
      <c r="CZ76" s="2256"/>
      <c r="DA76" s="2257"/>
      <c r="DB76" s="2257"/>
      <c r="DC76" s="2256"/>
      <c r="DD76" s="2256"/>
      <c r="DE76" s="2257"/>
      <c r="DF76" s="2257"/>
      <c r="DG76" s="2256"/>
      <c r="DH76" s="2257"/>
      <c r="DI76" s="2257"/>
      <c r="DJ76" s="2256"/>
      <c r="DK76" s="2257"/>
      <c r="DL76" s="2257"/>
      <c r="DM76" s="2256"/>
      <c r="DN76" s="2256"/>
      <c r="DO76" s="2257"/>
      <c r="DP76" s="2257"/>
      <c r="DQ76" s="2257"/>
      <c r="DR76" s="2256"/>
      <c r="DS76" s="2256"/>
      <c r="DT76" s="2256"/>
      <c r="DU76" s="2256"/>
      <c r="DV76" s="2256"/>
      <c r="DW76" s="2256"/>
      <c r="DX76" s="2256"/>
      <c r="DY76" s="2256"/>
      <c r="DZ76" s="2257"/>
      <c r="EA76" s="2257"/>
      <c r="EB76" s="2256"/>
      <c r="EC76" s="2256"/>
      <c r="ED76" s="2260"/>
      <c r="EE76" s="2206">
        <f t="shared" si="50"/>
        <v>0</v>
      </c>
      <c r="EF76" s="2165">
        <f t="shared" si="77"/>
        <v>0</v>
      </c>
      <c r="EG76" s="2166"/>
      <c r="EH76" s="2253">
        <f t="shared" ref="EH76" si="204">+K76-EJ76</f>
        <v>0</v>
      </c>
      <c r="EI76" s="2166">
        <f t="shared" ref="EI76" si="205">+EJ76-X76</f>
        <v>0</v>
      </c>
      <c r="EJ76" s="2253"/>
      <c r="EL76" s="2208"/>
    </row>
    <row r="77" spans="1:142" ht="19.5" customHeight="1" thickBot="1">
      <c r="A77" s="3167" t="s">
        <v>119</v>
      </c>
      <c r="B77" s="3168"/>
      <c r="C77" s="2299">
        <v>243932554</v>
      </c>
      <c r="D77" s="2299">
        <v>415954204</v>
      </c>
      <c r="E77" s="2299">
        <v>440068727</v>
      </c>
      <c r="F77" s="2299">
        <v>432844418</v>
      </c>
      <c r="G77" s="2299">
        <v>432844418</v>
      </c>
      <c r="H77" s="2299">
        <v>435495078</v>
      </c>
      <c r="I77" s="2299">
        <v>435495078</v>
      </c>
      <c r="J77" s="2299">
        <v>351208186</v>
      </c>
      <c r="K77" s="2299">
        <f t="shared" ref="K77:O77" si="206">+K58+K72+K75</f>
        <v>317273918</v>
      </c>
      <c r="L77" s="2300">
        <f t="shared" si="206"/>
        <v>2701100.016443999</v>
      </c>
      <c r="M77" s="2301">
        <f t="shared" si="206"/>
        <v>9950674</v>
      </c>
      <c r="N77" s="2301">
        <f t="shared" si="206"/>
        <v>74054</v>
      </c>
      <c r="O77" s="2301">
        <f t="shared" si="206"/>
        <v>0</v>
      </c>
      <c r="P77" s="2301">
        <f t="shared" ref="P77:AY77" si="207">+P58+P72+P75</f>
        <v>25722190.983556002</v>
      </c>
      <c r="Q77" s="2301">
        <f t="shared" ref="Q77" si="208">+Q58+Q72+Q75</f>
        <v>600000</v>
      </c>
      <c r="R77" s="2301">
        <f t="shared" si="207"/>
        <v>5666000</v>
      </c>
      <c r="S77" s="2301">
        <f t="shared" si="207"/>
        <v>163123</v>
      </c>
      <c r="T77" s="2301">
        <f t="shared" si="207"/>
        <v>45557550</v>
      </c>
      <c r="U77" s="2302">
        <f t="shared" si="207"/>
        <v>45487550</v>
      </c>
      <c r="V77" s="2303">
        <f t="shared" si="207"/>
        <v>70000</v>
      </c>
      <c r="W77" s="2301">
        <f t="shared" si="207"/>
        <v>0</v>
      </c>
      <c r="X77" s="2304">
        <f t="shared" si="207"/>
        <v>52555290</v>
      </c>
      <c r="Y77" s="2301">
        <f t="shared" si="207"/>
        <v>3082200</v>
      </c>
      <c r="Z77" s="2301">
        <f t="shared" ref="Z77" si="209">+Z58+Z72+Z75</f>
        <v>560000</v>
      </c>
      <c r="AA77" s="2301">
        <f t="shared" si="207"/>
        <v>300000</v>
      </c>
      <c r="AB77" s="2301">
        <f t="shared" si="207"/>
        <v>9847980</v>
      </c>
      <c r="AC77" s="2301">
        <f t="shared" si="207"/>
        <v>25725</v>
      </c>
      <c r="AD77" s="2301">
        <f t="shared" ref="AD77:AE77" si="210">+AD58+AD72+AD75</f>
        <v>226240</v>
      </c>
      <c r="AE77" s="2301">
        <f t="shared" si="210"/>
        <v>3000</v>
      </c>
      <c r="AF77" s="2301">
        <f t="shared" si="207"/>
        <v>3446000</v>
      </c>
      <c r="AG77" s="2301">
        <f t="shared" si="207"/>
        <v>795000</v>
      </c>
      <c r="AH77" s="2301">
        <f t="shared" si="207"/>
        <v>1362100</v>
      </c>
      <c r="AI77" s="2301">
        <f t="shared" si="207"/>
        <v>6597000</v>
      </c>
      <c r="AJ77" s="2302">
        <f t="shared" si="207"/>
        <v>6567000</v>
      </c>
      <c r="AK77" s="2302">
        <f t="shared" si="207"/>
        <v>30000</v>
      </c>
      <c r="AL77" s="2301">
        <f t="shared" si="207"/>
        <v>3071000</v>
      </c>
      <c r="AM77" s="2302">
        <f t="shared" si="207"/>
        <v>2971000</v>
      </c>
      <c r="AN77" s="2302">
        <f t="shared" si="207"/>
        <v>100000</v>
      </c>
      <c r="AO77" s="2301">
        <f t="shared" si="207"/>
        <v>10889760</v>
      </c>
      <c r="AP77" s="2302">
        <f t="shared" si="207"/>
        <v>10799760</v>
      </c>
      <c r="AQ77" s="2302">
        <f t="shared" si="207"/>
        <v>90000</v>
      </c>
      <c r="AR77" s="2301">
        <f t="shared" si="207"/>
        <v>1178800</v>
      </c>
      <c r="AS77" s="2301">
        <f t="shared" si="207"/>
        <v>17000</v>
      </c>
      <c r="AT77" s="2301">
        <f t="shared" si="207"/>
        <v>0</v>
      </c>
      <c r="AU77" s="2301">
        <f t="shared" si="207"/>
        <v>171000</v>
      </c>
      <c r="AV77" s="2302">
        <f t="shared" si="207"/>
        <v>151000</v>
      </c>
      <c r="AW77" s="2302">
        <f t="shared" si="207"/>
        <v>20000</v>
      </c>
      <c r="AX77" s="2301">
        <f t="shared" si="207"/>
        <v>730000</v>
      </c>
      <c r="AY77" s="2302">
        <f t="shared" si="207"/>
        <v>730000</v>
      </c>
      <c r="AZ77" s="2302">
        <f t="shared" ref="AZ77:CQ77" si="211">+AZ58+AZ72+AZ75</f>
        <v>0</v>
      </c>
      <c r="BA77" s="2301">
        <f t="shared" si="211"/>
        <v>730000</v>
      </c>
      <c r="BB77" s="2302">
        <f t="shared" si="211"/>
        <v>460000</v>
      </c>
      <c r="BC77" s="2302">
        <f t="shared" ref="BC77:BE77" si="212">+BC58+BC72+BC75</f>
        <v>270000</v>
      </c>
      <c r="BD77" s="2301">
        <f t="shared" si="212"/>
        <v>1750000</v>
      </c>
      <c r="BE77" s="2302">
        <f t="shared" si="212"/>
        <v>1750000</v>
      </c>
      <c r="BF77" s="2302">
        <f t="shared" ref="BF77" si="213">+BF58+BF72+BF75</f>
        <v>0</v>
      </c>
      <c r="BG77" s="2301">
        <f t="shared" si="211"/>
        <v>29415500</v>
      </c>
      <c r="BH77" s="2302">
        <f t="shared" si="211"/>
        <v>29415500</v>
      </c>
      <c r="BI77" s="2302">
        <f t="shared" si="211"/>
        <v>0</v>
      </c>
      <c r="BJ77" s="2301">
        <f t="shared" ref="BJ77:BL77" si="214">+BJ58+BJ72+BJ75</f>
        <v>1062000</v>
      </c>
      <c r="BK77" s="2302">
        <f t="shared" si="214"/>
        <v>1062000</v>
      </c>
      <c r="BL77" s="2302">
        <f t="shared" si="214"/>
        <v>0</v>
      </c>
      <c r="BM77" s="2301">
        <f t="shared" si="211"/>
        <v>426000</v>
      </c>
      <c r="BN77" s="2302">
        <f t="shared" si="211"/>
        <v>426000</v>
      </c>
      <c r="BO77" s="2302">
        <f t="shared" si="211"/>
        <v>0</v>
      </c>
      <c r="BP77" s="2301">
        <f t="shared" si="211"/>
        <v>1561400</v>
      </c>
      <c r="BQ77" s="2302">
        <f t="shared" si="211"/>
        <v>1531400</v>
      </c>
      <c r="BR77" s="2302">
        <f t="shared" si="211"/>
        <v>30000</v>
      </c>
      <c r="BS77" s="2301">
        <f t="shared" si="211"/>
        <v>1750000</v>
      </c>
      <c r="BT77" s="2302">
        <f t="shared" si="211"/>
        <v>1710000</v>
      </c>
      <c r="BU77" s="2302">
        <f t="shared" si="211"/>
        <v>40000</v>
      </c>
      <c r="BV77" s="2301">
        <f t="shared" si="211"/>
        <v>5896731</v>
      </c>
      <c r="BW77" s="2302">
        <f t="shared" si="211"/>
        <v>5856731</v>
      </c>
      <c r="BX77" s="2302">
        <f t="shared" si="211"/>
        <v>40000</v>
      </c>
      <c r="BY77" s="2301">
        <f t="shared" si="211"/>
        <v>1160000</v>
      </c>
      <c r="BZ77" s="2302">
        <f t="shared" si="211"/>
        <v>1160000</v>
      </c>
      <c r="CA77" s="2302">
        <f t="shared" si="211"/>
        <v>0</v>
      </c>
      <c r="CB77" s="2301">
        <f t="shared" si="211"/>
        <v>250000</v>
      </c>
      <c r="CC77" s="2301">
        <f t="shared" si="211"/>
        <v>42320000</v>
      </c>
      <c r="CD77" s="2302">
        <f t="shared" si="211"/>
        <v>42280000</v>
      </c>
      <c r="CE77" s="2302">
        <f t="shared" si="211"/>
        <v>40000</v>
      </c>
      <c r="CF77" s="2301">
        <f t="shared" si="211"/>
        <v>470000</v>
      </c>
      <c r="CG77" s="2301">
        <f t="shared" si="211"/>
        <v>2312000</v>
      </c>
      <c r="CH77" s="2302">
        <f t="shared" si="211"/>
        <v>1962000</v>
      </c>
      <c r="CI77" s="2302">
        <f t="shared" si="211"/>
        <v>350000</v>
      </c>
      <c r="CJ77" s="2301">
        <f t="shared" si="211"/>
        <v>12567000</v>
      </c>
      <c r="CK77" s="2302">
        <f t="shared" si="211"/>
        <v>9717000</v>
      </c>
      <c r="CL77" s="2302">
        <f t="shared" si="211"/>
        <v>2850000</v>
      </c>
      <c r="CM77" s="2301">
        <f t="shared" si="211"/>
        <v>3840000</v>
      </c>
      <c r="CN77" s="2301">
        <f t="shared" si="211"/>
        <v>493000</v>
      </c>
      <c r="CO77" s="2302">
        <f t="shared" si="211"/>
        <v>493000</v>
      </c>
      <c r="CP77" s="2302">
        <f t="shared" si="211"/>
        <v>0</v>
      </c>
      <c r="CQ77" s="2301">
        <f t="shared" si="211"/>
        <v>3700000</v>
      </c>
      <c r="CR77" s="2302"/>
      <c r="CS77" s="2302"/>
      <c r="CT77" s="2301">
        <f>+CT58+CT72+CT75</f>
        <v>23161000</v>
      </c>
      <c r="CU77" s="2301">
        <f t="shared" ref="CU77:CV77" si="215">+CU58+CU72+CU75</f>
        <v>23161000</v>
      </c>
      <c r="CV77" s="2301">
        <f t="shared" si="215"/>
        <v>0</v>
      </c>
      <c r="CW77" s="2301">
        <f>+CW58+CW72+CW75</f>
        <v>260000</v>
      </c>
      <c r="CX77" s="2301">
        <f t="shared" ref="CX77:CY77" si="216">+CX58+CX72+CX75</f>
        <v>260000</v>
      </c>
      <c r="CY77" s="2301">
        <f t="shared" si="216"/>
        <v>0</v>
      </c>
      <c r="CZ77" s="2301">
        <f t="shared" ref="CZ77:ED77" si="217">+CZ58+CZ72+CZ75</f>
        <v>1180000</v>
      </c>
      <c r="DA77" s="2302">
        <f t="shared" si="217"/>
        <v>880000</v>
      </c>
      <c r="DB77" s="2302">
        <f t="shared" si="217"/>
        <v>300000</v>
      </c>
      <c r="DC77" s="2301">
        <f t="shared" si="217"/>
        <v>100000</v>
      </c>
      <c r="DD77" s="2301">
        <f t="shared" si="217"/>
        <v>7050000</v>
      </c>
      <c r="DE77" s="2302">
        <f t="shared" si="217"/>
        <v>0</v>
      </c>
      <c r="DF77" s="2302">
        <f t="shared" si="217"/>
        <v>7050000</v>
      </c>
      <c r="DG77" s="2301">
        <f t="shared" si="217"/>
        <v>0</v>
      </c>
      <c r="DH77" s="2302">
        <f t="shared" si="217"/>
        <v>0</v>
      </c>
      <c r="DI77" s="2302">
        <f t="shared" si="217"/>
        <v>0</v>
      </c>
      <c r="DJ77" s="2301">
        <f t="shared" si="217"/>
        <v>100000</v>
      </c>
      <c r="DK77" s="2302">
        <f t="shared" si="217"/>
        <v>0</v>
      </c>
      <c r="DL77" s="2302">
        <f t="shared" si="217"/>
        <v>100000</v>
      </c>
      <c r="DM77" s="2301">
        <f t="shared" si="217"/>
        <v>139000</v>
      </c>
      <c r="DN77" s="2301">
        <f t="shared" si="217"/>
        <v>3501000</v>
      </c>
      <c r="DO77" s="2302">
        <f t="shared" si="217"/>
        <v>1251000</v>
      </c>
      <c r="DP77" s="2302">
        <f t="shared" si="217"/>
        <v>0</v>
      </c>
      <c r="DQ77" s="2302">
        <f t="shared" si="217"/>
        <v>2250000</v>
      </c>
      <c r="DR77" s="2301">
        <f t="shared" si="217"/>
        <v>416500</v>
      </c>
      <c r="DS77" s="2301">
        <f t="shared" si="217"/>
        <v>0</v>
      </c>
      <c r="DT77" s="2301">
        <f t="shared" si="217"/>
        <v>0</v>
      </c>
      <c r="DU77" s="2301">
        <f t="shared" si="217"/>
        <v>0</v>
      </c>
      <c r="DV77" s="2301">
        <f t="shared" si="217"/>
        <v>0</v>
      </c>
      <c r="DW77" s="2301">
        <f t="shared" si="217"/>
        <v>0</v>
      </c>
      <c r="DX77" s="2301">
        <f t="shared" si="217"/>
        <v>0</v>
      </c>
      <c r="DY77" s="2301">
        <f t="shared" si="217"/>
        <v>0</v>
      </c>
      <c r="DZ77" s="2302">
        <f t="shared" ref="DZ77:EA77" si="218">+DZ58+DZ72+DZ75</f>
        <v>0</v>
      </c>
      <c r="EA77" s="2302">
        <f t="shared" si="218"/>
        <v>0</v>
      </c>
      <c r="EB77" s="2301">
        <f t="shared" si="217"/>
        <v>0</v>
      </c>
      <c r="EC77" s="2301">
        <f t="shared" si="217"/>
        <v>0</v>
      </c>
      <c r="ED77" s="2305">
        <f t="shared" si="217"/>
        <v>0</v>
      </c>
      <c r="EE77" s="2206"/>
      <c r="EF77" s="2165"/>
      <c r="EG77" s="2166"/>
      <c r="EH77" s="2299">
        <f>+EH58+EH72+EH75</f>
        <v>263550484</v>
      </c>
      <c r="EI77" s="2166"/>
      <c r="EJ77" s="2299">
        <f>+EJ58+EJ72+EJ75</f>
        <v>52488080</v>
      </c>
      <c r="EL77" s="2208"/>
    </row>
    <row r="78" spans="1:142" ht="20.25" customHeight="1" thickBot="1">
      <c r="A78" s="3167" t="s">
        <v>128</v>
      </c>
      <c r="B78" s="3169"/>
      <c r="C78" s="2306">
        <v>0</v>
      </c>
      <c r="D78" s="2306">
        <v>0</v>
      </c>
      <c r="E78" s="2306">
        <v>0</v>
      </c>
      <c r="F78" s="2306">
        <v>0</v>
      </c>
      <c r="G78" s="2306">
        <v>0</v>
      </c>
      <c r="H78" s="2306">
        <v>0</v>
      </c>
      <c r="I78" s="2306">
        <v>0</v>
      </c>
      <c r="J78" s="2306">
        <v>0</v>
      </c>
      <c r="K78" s="2306">
        <f>+'Příjmy kapitol celkem'!M122-'Výdaje kapitol celkem'!K77</f>
        <v>0</v>
      </c>
      <c r="L78" s="2307"/>
      <c r="M78" s="2308"/>
      <c r="N78" s="2307"/>
      <c r="O78" s="2307"/>
      <c r="P78" s="2309">
        <f>'Příjmy kapitol celkem'!M122-K58-SUM(K59:K69)-K71-K74</f>
        <v>8391019.9835560024</v>
      </c>
      <c r="Q78" s="2309"/>
      <c r="R78" s="2307"/>
      <c r="S78" s="2307"/>
      <c r="T78" s="2307"/>
      <c r="U78" s="2310"/>
      <c r="V78" s="2309"/>
      <c r="W78" s="2307"/>
      <c r="X78" s="2310">
        <f>+X69+X61+X45+X35+X34+X22+X16</f>
        <v>52555290</v>
      </c>
      <c r="Y78" s="2307"/>
      <c r="Z78" s="2307"/>
      <c r="AA78" s="2307"/>
      <c r="AB78" s="2307"/>
      <c r="AC78" s="2307"/>
      <c r="AD78" s="2307"/>
      <c r="AE78" s="2307"/>
      <c r="AF78" s="2307"/>
      <c r="AG78" s="2307"/>
      <c r="AH78" s="2307"/>
      <c r="AI78" s="2307"/>
      <c r="AJ78" s="2310"/>
      <c r="AK78" s="2310"/>
      <c r="AL78" s="2307"/>
      <c r="AM78" s="2310"/>
      <c r="AN78" s="2310"/>
      <c r="AO78" s="2307"/>
      <c r="AP78" s="2310"/>
      <c r="AQ78" s="2310"/>
      <c r="AR78" s="2307"/>
      <c r="AS78" s="2307"/>
      <c r="AT78" s="2307"/>
      <c r="AU78" s="2307"/>
      <c r="AV78" s="2310"/>
      <c r="AW78" s="2310"/>
      <c r="AX78" s="2307"/>
      <c r="AY78" s="2310"/>
      <c r="AZ78" s="2310"/>
      <c r="BA78" s="2307"/>
      <c r="BB78" s="2310"/>
      <c r="BC78" s="2310"/>
      <c r="BD78" s="2307"/>
      <c r="BE78" s="2310"/>
      <c r="BF78" s="2310"/>
      <c r="BG78" s="2307"/>
      <c r="BH78" s="2310"/>
      <c r="BI78" s="2310"/>
      <c r="BJ78" s="2307"/>
      <c r="BK78" s="2310"/>
      <c r="BL78" s="2310"/>
      <c r="BM78" s="2307"/>
      <c r="BN78" s="2310"/>
      <c r="BO78" s="2310"/>
      <c r="BP78" s="2307"/>
      <c r="BQ78" s="2310"/>
      <c r="BR78" s="2310"/>
      <c r="BS78" s="2307"/>
      <c r="BT78" s="2310"/>
      <c r="BU78" s="2310"/>
      <c r="BV78" s="2307"/>
      <c r="BW78" s="2310"/>
      <c r="BX78" s="2310"/>
      <c r="BY78" s="2307"/>
      <c r="BZ78" s="2310"/>
      <c r="CA78" s="2310"/>
      <c r="CB78" s="2307"/>
      <c r="CC78" s="2307"/>
      <c r="CD78" s="2310"/>
      <c r="CE78" s="2310"/>
      <c r="CF78" s="2307"/>
      <c r="CG78" s="2307"/>
      <c r="CH78" s="2310"/>
      <c r="CI78" s="2310"/>
      <c r="CJ78" s="2307"/>
      <c r="CK78" s="2310"/>
      <c r="CL78" s="2310"/>
      <c r="CM78" s="2307"/>
      <c r="CN78" s="2307"/>
      <c r="CO78" s="2310"/>
      <c r="CP78" s="2310"/>
      <c r="CQ78" s="2307"/>
      <c r="CR78" s="2310"/>
      <c r="CS78" s="2310"/>
      <c r="CT78" s="2307"/>
      <c r="CU78" s="2310"/>
      <c r="CV78" s="2310"/>
      <c r="CW78" s="2307"/>
      <c r="CX78" s="2310"/>
      <c r="CY78" s="2310"/>
      <c r="CZ78" s="2307"/>
      <c r="DA78" s="2310"/>
      <c r="DB78" s="2310"/>
      <c r="DC78" s="2307"/>
      <c r="DD78" s="2307"/>
      <c r="DE78" s="2310"/>
      <c r="DF78" s="2310"/>
      <c r="DG78" s="2307"/>
      <c r="DH78" s="2310"/>
      <c r="DI78" s="2310"/>
      <c r="DJ78" s="2307"/>
      <c r="DK78" s="2310"/>
      <c r="DL78" s="2310"/>
      <c r="DM78" s="2307"/>
      <c r="DN78" s="2307"/>
      <c r="DO78" s="2310"/>
      <c r="DP78" s="2310"/>
      <c r="DQ78" s="2310"/>
      <c r="DR78" s="2307"/>
      <c r="DS78" s="2307"/>
      <c r="DT78" s="2307"/>
      <c r="DU78" s="2307"/>
      <c r="DV78" s="2307"/>
      <c r="DW78" s="2307"/>
      <c r="DX78" s="2307"/>
      <c r="DY78" s="2307"/>
      <c r="DZ78" s="2310"/>
      <c r="EA78" s="2310"/>
      <c r="EB78" s="2307"/>
      <c r="EC78" s="2307"/>
      <c r="ED78" s="2307"/>
      <c r="EE78" s="2162"/>
      <c r="EF78" s="2165"/>
      <c r="EG78" s="2166"/>
      <c r="EH78" s="2168"/>
      <c r="EI78" s="2166"/>
      <c r="EJ78" s="2168"/>
    </row>
    <row r="79" spans="1:142">
      <c r="A79" s="2311"/>
      <c r="B79" s="2312"/>
      <c r="C79" s="2313"/>
      <c r="D79" s="2313"/>
      <c r="E79" s="2313"/>
      <c r="F79" s="2313"/>
      <c r="G79" s="2313"/>
      <c r="H79" s="2313"/>
      <c r="I79" s="2313"/>
      <c r="J79" s="2313"/>
      <c r="K79" s="2307"/>
      <c r="L79" s="2308"/>
      <c r="M79" s="2308"/>
      <c r="N79" s="2308"/>
      <c r="O79" s="2308"/>
      <c r="P79" s="2308"/>
      <c r="Q79" s="2308"/>
      <c r="R79" s="2308"/>
      <c r="S79" s="2308"/>
      <c r="T79" s="2308"/>
      <c r="U79" s="2314"/>
      <c r="V79" s="2315" t="s">
        <v>639</v>
      </c>
      <c r="W79" s="2308"/>
      <c r="X79" s="2315">
        <f>+X78/12</f>
        <v>4379607.5</v>
      </c>
      <c r="Y79" s="2308"/>
      <c r="Z79" s="2308"/>
      <c r="AA79" s="2308"/>
      <c r="AB79" s="2308"/>
      <c r="AC79" s="2308"/>
      <c r="AD79" s="2308"/>
      <c r="AE79" s="2308"/>
      <c r="AF79" s="2308"/>
      <c r="AG79" s="2308"/>
      <c r="AH79" s="2308"/>
      <c r="AI79" s="2308"/>
      <c r="AJ79" s="2314"/>
      <c r="AK79" s="2314"/>
      <c r="AL79" s="2308"/>
      <c r="AM79" s="2314"/>
      <c r="AN79" s="2314"/>
      <c r="AO79" s="2308"/>
      <c r="AP79" s="2314"/>
      <c r="AQ79" s="2314"/>
      <c r="AR79" s="2308"/>
      <c r="AS79" s="2308"/>
      <c r="AT79" s="2308"/>
      <c r="AU79" s="2308"/>
      <c r="AV79" s="2314"/>
      <c r="AW79" s="2314"/>
      <c r="AX79" s="2308"/>
      <c r="AY79" s="2314"/>
      <c r="AZ79" s="2314"/>
      <c r="BA79" s="2308"/>
      <c r="BB79" s="2314"/>
      <c r="BC79" s="2314"/>
      <c r="BD79" s="2308"/>
      <c r="BE79" s="2314"/>
      <c r="BF79" s="2314"/>
      <c r="BG79" s="2308"/>
      <c r="BH79" s="2314"/>
      <c r="BI79" s="2314"/>
      <c r="BJ79" s="2308"/>
      <c r="BK79" s="2314"/>
      <c r="BL79" s="2314"/>
      <c r="BM79" s="2308"/>
      <c r="BN79" s="2314"/>
      <c r="BO79" s="2314"/>
      <c r="BP79" s="2308"/>
      <c r="BQ79" s="2314"/>
      <c r="BR79" s="2314"/>
      <c r="BS79" s="2308"/>
      <c r="BT79" s="2314"/>
      <c r="BU79" s="2314"/>
      <c r="BV79" s="2308"/>
      <c r="BW79" s="2314"/>
      <c r="BX79" s="2314"/>
      <c r="BY79" s="2308"/>
      <c r="BZ79" s="2314"/>
      <c r="CA79" s="2314"/>
      <c r="CB79" s="2308"/>
      <c r="CC79" s="2308"/>
      <c r="CD79" s="2314"/>
      <c r="CE79" s="2314"/>
      <c r="CF79" s="2308"/>
      <c r="CG79" s="2308"/>
      <c r="CH79" s="2314"/>
      <c r="CI79" s="2314"/>
      <c r="CJ79" s="2308"/>
      <c r="CK79" s="2314"/>
      <c r="CL79" s="2314"/>
      <c r="CM79" s="2308"/>
      <c r="CN79" s="2308"/>
      <c r="CO79" s="2314"/>
      <c r="CP79" s="2314"/>
      <c r="CQ79" s="2308"/>
      <c r="CR79" s="2314"/>
      <c r="CS79" s="2314"/>
      <c r="CT79" s="2308"/>
      <c r="CU79" s="2314"/>
      <c r="CV79" s="2314"/>
      <c r="CW79" s="2308"/>
      <c r="CX79" s="2314"/>
      <c r="CY79" s="2314"/>
      <c r="CZ79" s="2308"/>
      <c r="DA79" s="2314"/>
      <c r="DB79" s="2314"/>
      <c r="DC79" s="2308"/>
      <c r="DD79" s="2308"/>
      <c r="DE79" s="2314"/>
      <c r="DF79" s="2314"/>
      <c r="DG79" s="2308"/>
      <c r="DH79" s="2314"/>
      <c r="DI79" s="2314"/>
      <c r="DJ79" s="2308"/>
      <c r="DK79" s="2314"/>
      <c r="DL79" s="2314"/>
      <c r="DM79" s="2308"/>
      <c r="DN79" s="2308"/>
      <c r="DO79" s="2314"/>
      <c r="DP79" s="2314"/>
      <c r="DQ79" s="2314"/>
      <c r="DR79" s="2308"/>
      <c r="DS79" s="2308"/>
      <c r="DT79" s="2308"/>
      <c r="DU79" s="2308"/>
      <c r="DV79" s="2308"/>
      <c r="DW79" s="2308"/>
      <c r="DX79" s="2308"/>
      <c r="DY79" s="2308"/>
      <c r="DZ79" s="2314"/>
      <c r="EA79" s="2314"/>
      <c r="EB79" s="2308"/>
      <c r="EC79" s="2308"/>
      <c r="ED79" s="2308"/>
      <c r="EE79" s="2162"/>
      <c r="EF79" s="2165"/>
      <c r="EG79" s="2166"/>
      <c r="EH79" s="2172"/>
      <c r="EI79" s="2166"/>
      <c r="EJ79" s="2172"/>
    </row>
    <row r="80" spans="1:142">
      <c r="A80" s="2316" t="s">
        <v>545</v>
      </c>
      <c r="B80" s="2312"/>
      <c r="C80" s="2312"/>
      <c r="D80" s="2312"/>
      <c r="E80" s="2312"/>
      <c r="F80" s="2312"/>
      <c r="G80" s="2312"/>
      <c r="H80" s="2312"/>
      <c r="I80" s="2312"/>
      <c r="J80" s="2312"/>
      <c r="K80" s="2307"/>
      <c r="V80" s="2317" t="s">
        <v>312</v>
      </c>
      <c r="X80" s="2229"/>
    </row>
    <row r="81" spans="12:24">
      <c r="L81" s="2322"/>
      <c r="M81" s="2322"/>
      <c r="N81" s="2322"/>
      <c r="O81" s="2322"/>
      <c r="P81" s="2229"/>
      <c r="Q81" s="2229"/>
      <c r="V81" s="2317"/>
      <c r="X81" s="2229"/>
    </row>
    <row r="82" spans="12:24">
      <c r="V82" s="2317"/>
      <c r="X82" s="2229"/>
    </row>
    <row r="83" spans="12:24">
      <c r="V83" s="2317" t="s">
        <v>686</v>
      </c>
      <c r="X83" s="2229"/>
    </row>
    <row r="84" spans="12:24">
      <c r="X84" s="2323"/>
    </row>
  </sheetData>
  <sheetProtection algorithmName="SHA-512" hashValue="rSHGVB1e23+spqbhtAv7QBDgxmpkh+/UbMXLckVhvPjkkn03Jk0lgv3g6aPo4WTVPtcB7DTA6G9x9uYGNgvwlg==" saltValue="SIWOoVyp6iGkpw0Ot0Ijtg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7:B77"/>
    <mergeCell ref="A78:B78"/>
  </mergeCells>
  <phoneticPr fontId="8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0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1558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celkem'!L14</f>
        <v>0</v>
      </c>
      <c r="G5" s="337">
        <f>+G14-'Výdaje kapitol celkem'!M14</f>
        <v>0</v>
      </c>
      <c r="H5" s="337">
        <f>+H14-'Výdaje kapitol celkem'!N14</f>
        <v>0</v>
      </c>
      <c r="I5" s="337">
        <f>+I14-'Výdaje kapitol celkem'!O14</f>
        <v>0</v>
      </c>
      <c r="J5" s="337">
        <f>+J14-'Výdaje kapitol celkem'!P14</f>
        <v>0</v>
      </c>
      <c r="K5" s="337">
        <f>+K14-'Výdaje kapitol celkem'!R14</f>
        <v>-43200</v>
      </c>
      <c r="L5" s="337">
        <f>+L14-'Výdaje kapitol celkem'!S14</f>
        <v>0</v>
      </c>
      <c r="M5" s="337">
        <f>+M14-'Výdaje kapitol celkem'!T14</f>
        <v>-390555</v>
      </c>
      <c r="N5" s="337">
        <f>+N14-'Výdaje kapitol celkem'!U14</f>
        <v>-390555</v>
      </c>
      <c r="O5" s="337">
        <f>+O14-'Výdaje kapitol celkem'!V14</f>
        <v>0</v>
      </c>
      <c r="P5" s="337">
        <f>+P14-'Výdaje kapitol celkem'!W14</f>
        <v>170010</v>
      </c>
      <c r="Q5" s="337">
        <f>+Q14-'Výdaje kapitol celkem'!X14</f>
        <v>-4710</v>
      </c>
      <c r="R5" s="337">
        <f>+R14-'Výdaje kapitol celkem'!Y14</f>
        <v>-21700</v>
      </c>
      <c r="S5" s="337">
        <f>+S14-'Výdaje kapitol celkem'!AA14</f>
        <v>0</v>
      </c>
      <c r="T5" s="337">
        <f>+T14-'Výdaje kapitol celkem'!AB14</f>
        <v>-33750</v>
      </c>
      <c r="U5" s="337">
        <f>+U14-'Výdaje kapitol celkem'!AC14</f>
        <v>-45</v>
      </c>
      <c r="V5" s="337">
        <f>+V14-'Výdaje kapitol celkem'!AD14</f>
        <v>0</v>
      </c>
      <c r="W5" s="337">
        <f>+W14-'Výdaje kapitol celkem'!AF14</f>
        <v>-2460</v>
      </c>
      <c r="X5" s="337">
        <f>+X14-'Výdaje kapitol celkem'!AG14</f>
        <v>-2280</v>
      </c>
      <c r="Y5" s="337">
        <f>+Y14-'Výdaje kapitol celkem'!AH14</f>
        <v>0</v>
      </c>
      <c r="Z5" s="337">
        <f>+Z14-'Výdaje kapitol celkem'!AI14</f>
        <v>0</v>
      </c>
      <c r="AA5" s="337">
        <f>+AA14-'Výdaje kapitol celkem'!AJ14</f>
        <v>0</v>
      </c>
      <c r="AB5" s="337">
        <f>+AB14-'Výdaje kapitol celkem'!AK14</f>
        <v>0</v>
      </c>
      <c r="AC5" s="337">
        <f>+AC14-'Výdaje kapitol celkem'!AL14</f>
        <v>0</v>
      </c>
      <c r="AD5" s="337">
        <f>+AD14-'Výdaje kapitol celkem'!AM14</f>
        <v>0</v>
      </c>
      <c r="AE5" s="337">
        <f>+AE14-'Výdaje kapitol celkem'!AN14</f>
        <v>0</v>
      </c>
      <c r="AF5" s="337">
        <f>+AF14-'Výdaje kapitol celkem'!AO14</f>
        <v>0</v>
      </c>
      <c r="AG5" s="337">
        <f>+AG14-'Výdaje kapitol celkem'!AP14</f>
        <v>0</v>
      </c>
      <c r="AH5" s="337">
        <f>+AH14-'Výdaje kapitol celkem'!AQ14</f>
        <v>0</v>
      </c>
      <c r="AI5" s="337">
        <f>+AI14-'Výdaje kapitol celkem'!AR14</f>
        <v>-1350</v>
      </c>
      <c r="AJ5" s="337">
        <f>+AJ14-'Výdaje kapitol celkem'!AS14</f>
        <v>0</v>
      </c>
      <c r="AK5" s="337">
        <f>+AK14-'Výdaje kapitol celkem'!AT14</f>
        <v>0</v>
      </c>
      <c r="AL5" s="337">
        <f>+AL14-'Výdaje kapitol celkem'!AU14</f>
        <v>0</v>
      </c>
      <c r="AM5" s="337">
        <f>+AM14-'Výdaje kapitol celkem'!AV14</f>
        <v>0</v>
      </c>
      <c r="AN5" s="337">
        <f>+AN14-'Výdaje kapitol celkem'!AW14</f>
        <v>0</v>
      </c>
      <c r="AO5" s="337">
        <f>+AO14-'Výdaje kapitol celkem'!AX14</f>
        <v>0</v>
      </c>
      <c r="AP5" s="337">
        <f>+AP14-'Výdaje kapitol celkem'!AY14</f>
        <v>0</v>
      </c>
      <c r="AQ5" s="337">
        <f>+AQ14-'Výdaje kapitol celkem'!AZ14</f>
        <v>0</v>
      </c>
      <c r="AR5" s="337">
        <f>+AR14-'Výdaje kapitol celkem'!BA14</f>
        <v>0</v>
      </c>
      <c r="AS5" s="337">
        <f>+AS14-'Výdaje kapitol celkem'!BB14</f>
        <v>0</v>
      </c>
      <c r="AT5" s="337">
        <f>+AT14-'Výdaje kapitol celkem'!BC14</f>
        <v>0</v>
      </c>
      <c r="AU5" s="337">
        <f>+AU14-'Výdaje kapitol celkem'!BD14</f>
        <v>0</v>
      </c>
      <c r="AV5" s="337">
        <f>+AV14-'Výdaje kapitol celkem'!BE14</f>
        <v>0</v>
      </c>
      <c r="AW5" s="337">
        <f>+AW14-'Výdaje kapitol celkem'!BF14</f>
        <v>0</v>
      </c>
      <c r="AX5" s="337">
        <f>+AX14-'Výdaje kapitol celkem'!BG14</f>
        <v>0</v>
      </c>
      <c r="AY5" s="337">
        <f>+AY14-'Výdaje kapitol celkem'!BH14</f>
        <v>0</v>
      </c>
      <c r="AZ5" s="337">
        <f>+AZ14-'Výdaje kapitol celkem'!BI14</f>
        <v>0</v>
      </c>
      <c r="BA5" s="337">
        <f>+BA14-'Výdaje kapitol celkem'!BJ14</f>
        <v>0</v>
      </c>
      <c r="BB5" s="337">
        <f>+BB14-'Výdaje kapitol celkem'!BK14</f>
        <v>0</v>
      </c>
      <c r="BC5" s="337">
        <f>+BC14-'Výdaje kapitol celkem'!BL14</f>
        <v>0</v>
      </c>
      <c r="BD5" s="337">
        <f>+BD14-'Výdaje kapitol celkem'!BM14</f>
        <v>0</v>
      </c>
      <c r="BE5" s="337">
        <f>+BE14-'Výdaje kapitol celkem'!BN14</f>
        <v>0</v>
      </c>
      <c r="BF5" s="337">
        <f>+BF14-'Výdaje kapitol celkem'!BO14</f>
        <v>0</v>
      </c>
      <c r="BG5" s="337">
        <f>+BG14-'Výdaje kapitol celkem'!BP14</f>
        <v>0</v>
      </c>
      <c r="BH5" s="337">
        <f>+BH14-'Výdaje kapitol celkem'!BQ14</f>
        <v>0</v>
      </c>
      <c r="BI5" s="337">
        <f>+BI14-'Výdaje kapitol celkem'!BR14</f>
        <v>0</v>
      </c>
      <c r="BJ5" s="337">
        <f>+BJ14-'Výdaje kapitol celkem'!BS14</f>
        <v>0</v>
      </c>
      <c r="BK5" s="337">
        <f>+BK14-'Výdaje kapitol celkem'!BT14</f>
        <v>0</v>
      </c>
      <c r="BL5" s="337">
        <f>+BL14-'Výdaje kapitol celkem'!BU14</f>
        <v>0</v>
      </c>
      <c r="BM5" s="337">
        <f>+BM14-'Výdaje kapitol celkem'!BV14</f>
        <v>0</v>
      </c>
      <c r="BN5" s="337">
        <f>+BN14-'Výdaje kapitol celkem'!BW14</f>
        <v>0</v>
      </c>
      <c r="BO5" s="337">
        <f>+BO14-'Výdaje kapitol celkem'!BX14</f>
        <v>0</v>
      </c>
      <c r="BP5" s="337">
        <f>+BP14-'Výdaje kapitol celkem'!BY14</f>
        <v>0</v>
      </c>
      <c r="BQ5" s="337">
        <f>+BQ14-'Výdaje kapitol celkem'!BZ14</f>
        <v>0</v>
      </c>
      <c r="BR5" s="337">
        <f>+BR14-'Výdaje kapitol celkem'!CA14</f>
        <v>0</v>
      </c>
      <c r="BS5" s="337">
        <f>+BS14-'Výdaje kapitol celkem'!CB14</f>
        <v>0</v>
      </c>
      <c r="BT5" s="337">
        <f>+BT14-'Výdaje kapitol celkem'!CC14</f>
        <v>0</v>
      </c>
      <c r="BU5" s="337">
        <f>+BU14-'Výdaje kapitol celkem'!CD14</f>
        <v>0</v>
      </c>
      <c r="BV5" s="337">
        <f>+BV14-'Výdaje kapitol celkem'!CE14</f>
        <v>0</v>
      </c>
      <c r="BW5" s="337">
        <f>+BW14-'Výdaje kapitol celkem'!CF14</f>
        <v>0</v>
      </c>
      <c r="BX5" s="337">
        <f>+BX14-'Výdaje kapitol celkem'!CG14</f>
        <v>0</v>
      </c>
      <c r="BY5" s="337">
        <f>+BY14-'Výdaje kapitol celkem'!CH14</f>
        <v>0</v>
      </c>
      <c r="BZ5" s="337">
        <f>+BZ14-'Výdaje kapitol celkem'!CI14</f>
        <v>0</v>
      </c>
      <c r="CA5" s="337">
        <f>+CA14-'Výdaje kapitol celkem'!CJ14</f>
        <v>0</v>
      </c>
      <c r="CB5" s="337">
        <f>+CB14-'Výdaje kapitol celkem'!CK14</f>
        <v>0</v>
      </c>
      <c r="CC5" s="337">
        <f>+CC14-'Výdaje kapitol celkem'!CL14</f>
        <v>0</v>
      </c>
      <c r="CD5" s="337">
        <f>+CD14-'Výdaje kapitol celkem'!CM14</f>
        <v>0</v>
      </c>
      <c r="CE5" s="337">
        <f>+CE14-'Výdaje kapitol celkem'!CN14</f>
        <v>0</v>
      </c>
      <c r="CF5" s="337">
        <f>+CF14-'Výdaje kapitol celkem'!CO14</f>
        <v>0</v>
      </c>
      <c r="CG5" s="337">
        <f>+CG14-'Výdaje kapitol celkem'!CP14</f>
        <v>0</v>
      </c>
      <c r="CH5" s="337">
        <f>+CH14-'Výdaje kapitol celkem'!CQ14</f>
        <v>0</v>
      </c>
      <c r="CI5" s="337">
        <f>+CI14-'Výdaje kapitol celkem'!CR14</f>
        <v>0</v>
      </c>
      <c r="CJ5" s="337">
        <f>+CJ14-'Výdaje kapitol celkem'!CS14</f>
        <v>0</v>
      </c>
      <c r="CK5" s="337">
        <f>+CK14-'Výdaje kapitol celkem'!CT14</f>
        <v>0</v>
      </c>
      <c r="CL5" s="337">
        <f>+CL14-'Výdaje kapitol celkem'!CU14</f>
        <v>0</v>
      </c>
      <c r="CM5" s="337">
        <f>+CM14-'Výdaje kapitol celkem'!CV14</f>
        <v>0</v>
      </c>
      <c r="CN5" s="337">
        <f>+CN14-'Výdaje kapitol celkem'!CW14</f>
        <v>0</v>
      </c>
      <c r="CO5" s="337">
        <f>+CO14-'Výdaje kapitol celkem'!CX14</f>
        <v>0</v>
      </c>
      <c r="CP5" s="337">
        <f>+CP14-'Výdaje kapitol celkem'!CY14</f>
        <v>0</v>
      </c>
      <c r="CQ5" s="337">
        <f>+CQ14-'Výdaje kapitol celkem'!CZ14</f>
        <v>0</v>
      </c>
      <c r="CR5" s="337">
        <f>+CR14-'Výdaje kapitol celkem'!DA14</f>
        <v>0</v>
      </c>
      <c r="CS5" s="337">
        <f>+CS14-'Výdaje kapitol celkem'!DB14</f>
        <v>0</v>
      </c>
      <c r="CT5" s="337">
        <f>+CT14-'Výdaje kapitol celkem'!DC14</f>
        <v>0</v>
      </c>
      <c r="CU5" s="337">
        <f>+CU14-'Výdaje kapitol celkem'!DD14</f>
        <v>0</v>
      </c>
      <c r="CV5" s="337">
        <f>+CV14-'Výdaje kapitol celkem'!DE14</f>
        <v>0</v>
      </c>
      <c r="CW5" s="337">
        <f>+CW14-'Výdaje kapitol celkem'!DF14</f>
        <v>0</v>
      </c>
      <c r="CX5" s="337">
        <f>+CX14-'Výdaje kapitol celkem'!DG14</f>
        <v>0</v>
      </c>
      <c r="CY5" s="337">
        <f>+CY14-'Výdaje kapitol celkem'!DH14</f>
        <v>0</v>
      </c>
      <c r="CZ5" s="337">
        <f>+CZ14-'Výdaje kapitol celkem'!DI14</f>
        <v>0</v>
      </c>
      <c r="DA5" s="337">
        <f>+DA14-'Výdaje kapitol celkem'!DJ14</f>
        <v>0</v>
      </c>
      <c r="DB5" s="337">
        <f>+DB14-'Výdaje kapitol celkem'!DK14</f>
        <v>0</v>
      </c>
      <c r="DC5" s="337">
        <f>+DC14-'Výdaje kapitol celkem'!DL14</f>
        <v>0</v>
      </c>
      <c r="DD5" s="337">
        <f>+DD14-'Výdaje kapitol celkem'!DM14</f>
        <v>0</v>
      </c>
      <c r="DE5" s="337">
        <f>+DE14-'Výdaje kapitol celkem'!DN14</f>
        <v>0</v>
      </c>
      <c r="DF5" s="337">
        <f>+DF14-'Výdaje kapitol celkem'!DO14</f>
        <v>0</v>
      </c>
      <c r="DG5" s="337">
        <f>+DG14-'Výdaje kapitol celkem'!DP14</f>
        <v>0</v>
      </c>
      <c r="DH5" s="337">
        <f>+DH14-'Výdaje kapitol celkem'!DQ14</f>
        <v>0</v>
      </c>
      <c r="DI5" s="337">
        <f>+DI14-'Výdaje kapitol celkem'!DR14</f>
        <v>0</v>
      </c>
      <c r="DJ5" s="337">
        <f>+DJ14-'Výdaje kapitol celkem'!DS14</f>
        <v>0</v>
      </c>
      <c r="DK5" s="337">
        <f>+DK14-'Výdaje kapitol celkem'!DT14</f>
        <v>0</v>
      </c>
      <c r="DL5" s="337">
        <f>+DL14-'Výdaje kapitol celkem'!DU14</f>
        <v>0</v>
      </c>
      <c r="DM5" s="337">
        <f>+DM14-'Výdaje kapitol celkem'!DV14</f>
        <v>0</v>
      </c>
      <c r="DN5" s="337">
        <f>+DN14-'Výdaje kapitol celkem'!DW14</f>
        <v>0</v>
      </c>
      <c r="DO5" s="337">
        <f>+DO14-'Výdaje kapitol celkem'!DX14</f>
        <v>0</v>
      </c>
      <c r="DP5" s="337">
        <f>+DP14-'Výdaje kapitol celkem'!DY14</f>
        <v>0</v>
      </c>
      <c r="DQ5" s="337">
        <f>+DQ14-'Výdaje kapitol celkem'!DZ14</f>
        <v>0</v>
      </c>
      <c r="DR5" s="337">
        <f>+DR14-'Výdaje kapitol celkem'!EA14</f>
        <v>0</v>
      </c>
      <c r="DS5" s="337">
        <f>+DS14-'Výdaje kapitol celkem'!EB14</f>
        <v>0</v>
      </c>
      <c r="DT5" s="337">
        <f>+DT14-'Výdaje kapitol celkem'!EC14</f>
        <v>0</v>
      </c>
      <c r="DU5" s="337">
        <f>+DU14-'Výdaje kapitol celkem'!ED14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1157</v>
      </c>
      <c r="D6" s="339" t="s">
        <v>1448</v>
      </c>
      <c r="E6" s="339" t="s">
        <v>1552</v>
      </c>
      <c r="F6" s="340" t="s">
        <v>129</v>
      </c>
      <c r="G6" s="340" t="s">
        <v>130</v>
      </c>
      <c r="H6" s="340" t="s">
        <v>761</v>
      </c>
      <c r="I6" s="117" t="s">
        <v>1497</v>
      </c>
      <c r="J6" s="340" t="s">
        <v>131</v>
      </c>
      <c r="K6" s="340" t="s">
        <v>746</v>
      </c>
      <c r="L6" s="340" t="s">
        <v>866</v>
      </c>
      <c r="M6" s="340" t="s">
        <v>357</v>
      </c>
      <c r="N6" s="341" t="s">
        <v>1554</v>
      </c>
      <c r="O6" s="342" t="s">
        <v>248</v>
      </c>
      <c r="P6" s="340" t="s">
        <v>867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1240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1553</v>
      </c>
      <c r="AB6" s="345" t="s">
        <v>248</v>
      </c>
      <c r="AC6" s="340" t="s">
        <v>139</v>
      </c>
      <c r="AD6" s="341" t="s">
        <v>1555</v>
      </c>
      <c r="AE6" s="345" t="s">
        <v>248</v>
      </c>
      <c r="AF6" s="340" t="s">
        <v>140</v>
      </c>
      <c r="AG6" s="341" t="s">
        <v>1553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1555</v>
      </c>
      <c r="AN6" s="345" t="s">
        <v>248</v>
      </c>
      <c r="AO6" s="340" t="s">
        <v>294</v>
      </c>
      <c r="AP6" s="341" t="s">
        <v>871</v>
      </c>
      <c r="AQ6" s="345" t="s">
        <v>248</v>
      </c>
      <c r="AR6" s="340" t="s">
        <v>1171</v>
      </c>
      <c r="AS6" s="341" t="s">
        <v>1553</v>
      </c>
      <c r="AT6" s="345" t="s">
        <v>248</v>
      </c>
      <c r="AU6" s="340" t="s">
        <v>1172</v>
      </c>
      <c r="AV6" s="341" t="s">
        <v>1553</v>
      </c>
      <c r="AW6" s="345" t="s">
        <v>248</v>
      </c>
      <c r="AX6" s="340" t="s">
        <v>145</v>
      </c>
      <c r="AY6" s="341" t="s">
        <v>1553</v>
      </c>
      <c r="AZ6" s="345" t="s">
        <v>248</v>
      </c>
      <c r="BA6" s="340" t="s">
        <v>1528</v>
      </c>
      <c r="BB6" s="341" t="s">
        <v>1530</v>
      </c>
      <c r="BC6" s="345" t="s">
        <v>248</v>
      </c>
      <c r="BD6" s="340" t="s">
        <v>146</v>
      </c>
      <c r="BE6" s="341" t="s">
        <v>1556</v>
      </c>
      <c r="BF6" s="345" t="s">
        <v>248</v>
      </c>
      <c r="BG6" s="340" t="s">
        <v>147</v>
      </c>
      <c r="BH6" s="341" t="s">
        <v>1553</v>
      </c>
      <c r="BI6" s="345" t="s">
        <v>248</v>
      </c>
      <c r="BJ6" s="340" t="s">
        <v>713</v>
      </c>
      <c r="BK6" s="341" t="s">
        <v>871</v>
      </c>
      <c r="BL6" s="345" t="s">
        <v>248</v>
      </c>
      <c r="BM6" s="340" t="s">
        <v>148</v>
      </c>
      <c r="BN6" s="341" t="s">
        <v>1553</v>
      </c>
      <c r="BO6" s="345" t="s">
        <v>248</v>
      </c>
      <c r="BP6" s="340" t="s">
        <v>149</v>
      </c>
      <c r="BQ6" s="341" t="s">
        <v>1553</v>
      </c>
      <c r="BR6" s="345" t="s">
        <v>248</v>
      </c>
      <c r="BS6" s="340" t="s">
        <v>150</v>
      </c>
      <c r="BT6" s="340" t="s">
        <v>341</v>
      </c>
      <c r="BU6" s="341" t="s">
        <v>871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1553</v>
      </c>
      <c r="CC6" s="345" t="s">
        <v>248</v>
      </c>
      <c r="CD6" s="340" t="s">
        <v>747</v>
      </c>
      <c r="CE6" s="340" t="s">
        <v>748</v>
      </c>
      <c r="CF6" s="341" t="s">
        <v>871</v>
      </c>
      <c r="CG6" s="345" t="s">
        <v>248</v>
      </c>
      <c r="CH6" s="340" t="s">
        <v>749</v>
      </c>
      <c r="CI6" s="341" t="s">
        <v>871</v>
      </c>
      <c r="CJ6" s="345" t="s">
        <v>248</v>
      </c>
      <c r="CK6" s="340" t="s">
        <v>750</v>
      </c>
      <c r="CL6" s="341" t="s">
        <v>502</v>
      </c>
      <c r="CM6" s="345" t="s">
        <v>248</v>
      </c>
      <c r="CN6" s="340" t="s">
        <v>751</v>
      </c>
      <c r="CO6" s="341" t="s">
        <v>502</v>
      </c>
      <c r="CP6" s="345" t="s">
        <v>248</v>
      </c>
      <c r="CQ6" s="340" t="s">
        <v>752</v>
      </c>
      <c r="CR6" s="341" t="s">
        <v>871</v>
      </c>
      <c r="CS6" s="345" t="s">
        <v>248</v>
      </c>
      <c r="CT6" s="340" t="s">
        <v>753</v>
      </c>
      <c r="CU6" s="340" t="s">
        <v>754</v>
      </c>
      <c r="CV6" s="341" t="s">
        <v>507</v>
      </c>
      <c r="CW6" s="345" t="s">
        <v>248</v>
      </c>
      <c r="CX6" s="340" t="s">
        <v>1180</v>
      </c>
      <c r="CY6" s="341" t="s">
        <v>872</v>
      </c>
      <c r="CZ6" s="345" t="s">
        <v>248</v>
      </c>
      <c r="DA6" s="340" t="s">
        <v>755</v>
      </c>
      <c r="DB6" s="341" t="s">
        <v>507</v>
      </c>
      <c r="DC6" s="345" t="s">
        <v>248</v>
      </c>
      <c r="DD6" s="340" t="s">
        <v>756</v>
      </c>
      <c r="DE6" s="340" t="s">
        <v>757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852</v>
      </c>
      <c r="DM6" s="340" t="s">
        <v>262</v>
      </c>
      <c r="DN6" s="340" t="s">
        <v>1101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939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1241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1529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1140</v>
      </c>
      <c r="DM7" s="351" t="s">
        <v>263</v>
      </c>
      <c r="DN7" s="351" t="s">
        <v>1102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celkem'!K8</f>
        <v>-2975000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celkem'!K9</f>
        <v>-371478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08" t="s">
        <v>582</v>
      </c>
      <c r="G10" s="1409"/>
      <c r="H10" s="1409"/>
      <c r="I10" s="1409"/>
      <c r="J10" s="1409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celkem'!K10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celkem'!K11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celkem'!K12</f>
        <v>-16211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celkem'!K13</f>
        <v>-906725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celkem'!K14</f>
        <v>-330040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celkem'!K15</f>
        <v>-20481.000000000029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celkem'!K19</f>
        <v>-37000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celkem'!K20</f>
        <v>-2000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celkem'!K21</f>
        <v>784000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celkem'!K22</f>
        <v>213000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celkem'!K23</f>
        <v>-126000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celkem'!K24</f>
        <v>3003450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celkem'!K25</f>
        <v>4224200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celkem'!K26</f>
        <v>261000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celkem'!K27</f>
        <v>110000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celkem'!K28</f>
        <v>-259000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celkem'!K29</f>
        <v>-495000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celkem'!K30</f>
        <v>-84463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celkem'!K31</f>
        <v>60000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celkem'!K32</f>
        <v>-22000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celkem'!K33</f>
        <v>427000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celkem'!K34</f>
        <v>-2235100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celkem'!K35</f>
        <v>1499480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celkem'!K36</f>
        <v>-41000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celkem'!K37</f>
        <v>31300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celkem'!K38</f>
        <v>93566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celkem'!K39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celkem'!K40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celkem'!K41</f>
        <v>-821425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celkem'!K42</f>
        <v>-108000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celkem'!K44</f>
        <v>-1927620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celkem'!K45</f>
        <v>-27109231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celkem'!K46</f>
        <v>30000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celkem'!K47</f>
        <v>-1859000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775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celkem'!K48</f>
        <v>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celkem'!K49</f>
        <v>455000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745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celkem'!K50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celkem'!K51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761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celkem'!K52</f>
        <v>-5041.408500000005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celkem'!K55</f>
        <v>366545.00381600112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celkem'!K57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celkem'!K59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celkem'!K60</f>
        <v>-30000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celkem'!K61</f>
        <v>-21628345.519999996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celkem'!K62</f>
        <v>15030000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celkem'!K63</f>
        <v>-462000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celkem'!K64</f>
        <v>-600000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celkem'!K65</f>
        <v>-4060000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celkem'!K66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celkem'!K67</f>
        <v>-4151000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1141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celkem'!K68</f>
        <v>-5761000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celkem'!K69</f>
        <v>-6468080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1522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57557529.908239976</v>
      </c>
      <c r="F67" s="841"/>
      <c r="G67" s="842"/>
      <c r="H67" s="843"/>
      <c r="I67" s="365"/>
      <c r="J67" s="573">
        <f>J75</f>
        <v>57557529.908239976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57557529.908239976</v>
      </c>
      <c r="DW67" s="873">
        <f t="shared" si="12"/>
        <v>0</v>
      </c>
      <c r="DX67" s="333">
        <f>+E67-'Výdaje kapitol celkem'!K70</f>
        <v>49166509.924683973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celkem'!K71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135071184.38823998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59672529.908239976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170" t="s">
        <v>119</v>
      </c>
      <c r="B74" s="3171"/>
      <c r="C74" s="328">
        <v>205296607</v>
      </c>
      <c r="D74" s="328">
        <v>212292757.63999999</v>
      </c>
      <c r="E74" s="328">
        <f>+E55+E69+E72</f>
        <v>317273918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64481921.908239976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170" t="s">
        <v>128</v>
      </c>
      <c r="B75" s="3172"/>
      <c r="C75" s="422">
        <v>0</v>
      </c>
      <c r="D75" s="422">
        <v>0</v>
      </c>
      <c r="E75" s="422">
        <f>+'Příjmy kapitol celkem'!M122-'Výdaje kapitol celkem (2)'!E74</f>
        <v>0</v>
      </c>
      <c r="F75" s="325"/>
      <c r="G75" s="425"/>
      <c r="H75" s="325"/>
      <c r="I75" s="325"/>
      <c r="J75" s="423">
        <f>'Příjmy kapitol celkem'!M122-E55-SUM(E56:E66)-E68-E71</f>
        <v>57557529.908239976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89" zoomScaleNormal="89" workbookViewId="0">
      <selection activeCell="C6" sqref="C6"/>
    </sheetView>
  </sheetViews>
  <sheetFormatPr defaultColWidth="9" defaultRowHeight="13.5" outlineLevelRow="1" outlineLevelCol="1"/>
  <cols>
    <col min="1" max="1" width="9.73046875" style="266" customWidth="1"/>
    <col min="2" max="2" width="50.863281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2349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2664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943</v>
      </c>
      <c r="J4" s="121" t="s">
        <v>485</v>
      </c>
      <c r="K4" s="123" t="s">
        <v>2294</v>
      </c>
      <c r="L4" s="119" t="s">
        <v>338</v>
      </c>
      <c r="M4" s="120" t="s">
        <v>944</v>
      </c>
      <c r="N4" s="122" t="s">
        <v>154</v>
      </c>
      <c r="O4" s="124" t="s">
        <v>155</v>
      </c>
      <c r="P4" s="123" t="s">
        <v>1914</v>
      </c>
      <c r="Q4" s="110"/>
    </row>
    <row r="5" spans="1:18" s="135" customFormat="1">
      <c r="A5" s="1745"/>
      <c r="B5" s="1746" t="s">
        <v>576</v>
      </c>
      <c r="C5" s="1747">
        <f>+C6+C7</f>
        <v>42844895</v>
      </c>
      <c r="D5" s="1748">
        <f t="shared" ref="D5:P5" si="0">+D6+D7</f>
        <v>4500000</v>
      </c>
      <c r="E5" s="129">
        <f t="shared" si="0"/>
        <v>38344895</v>
      </c>
      <c r="F5" s="1747">
        <f t="shared" si="0"/>
        <v>3500000</v>
      </c>
      <c r="G5" s="1747">
        <f t="shared" si="0"/>
        <v>700000</v>
      </c>
      <c r="H5" s="1749">
        <f t="shared" si="0"/>
        <v>6747870</v>
      </c>
      <c r="I5" s="1749">
        <f t="shared" si="0"/>
        <v>1340000</v>
      </c>
      <c r="J5" s="1749">
        <f t="shared" si="0"/>
        <v>3860210</v>
      </c>
      <c r="K5" s="1750">
        <f t="shared" si="0"/>
        <v>22196815</v>
      </c>
      <c r="L5" s="129">
        <f t="shared" si="0"/>
        <v>0</v>
      </c>
      <c r="M5" s="1751">
        <f t="shared" si="0"/>
        <v>0</v>
      </c>
      <c r="N5" s="1749">
        <f t="shared" si="0"/>
        <v>0</v>
      </c>
      <c r="O5" s="1751">
        <f t="shared" si="0"/>
        <v>0</v>
      </c>
      <c r="P5" s="1750">
        <f t="shared" si="0"/>
        <v>0</v>
      </c>
      <c r="Q5" s="294"/>
    </row>
    <row r="6" spans="1:18" ht="26.65">
      <c r="A6" s="3173" t="s">
        <v>508</v>
      </c>
      <c r="B6" s="136" t="s">
        <v>2291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174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174"/>
      <c r="B8" s="1720" t="s">
        <v>1671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174"/>
      <c r="B9" s="1843" t="s">
        <v>1915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2025'!O7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174"/>
      <c r="B10" s="1720" t="s">
        <v>941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960</v>
      </c>
    </row>
    <row r="11" spans="1:18" s="181" customFormat="1" outlineLevel="1">
      <c r="A11" s="3174"/>
      <c r="B11" s="1720" t="s">
        <v>2292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174"/>
      <c r="B12" s="1720" t="s">
        <v>2299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174"/>
      <c r="B13" s="1720" t="s">
        <v>2296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174"/>
      <c r="B14" s="1720" t="s">
        <v>2298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174"/>
      <c r="B15" s="1720" t="s">
        <v>2297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1669</v>
      </c>
    </row>
    <row r="17" spans="1:17" outlineLevel="1">
      <c r="A17" s="165"/>
      <c r="B17" s="1721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1" t="s">
        <v>951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1" t="s">
        <v>930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1" t="s">
        <v>936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22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1" t="s">
        <v>931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1" t="s">
        <v>932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1" t="s">
        <v>933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1" t="s">
        <v>934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1" t="s">
        <v>935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1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1" t="s">
        <v>936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1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177" t="s">
        <v>235</v>
      </c>
      <c r="B34" s="3178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42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2293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963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1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24" t="s">
        <v>70</v>
      </c>
      <c r="B46" s="1725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26">
        <f t="shared" si="24"/>
        <v>1399813.4</v>
      </c>
      <c r="G46" s="1726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27">
        <f t="shared" si="24"/>
        <v>2200250</v>
      </c>
      <c r="N46" s="185">
        <f t="shared" si="24"/>
        <v>1276596.1200000001</v>
      </c>
      <c r="O46" s="1728">
        <f t="shared" si="24"/>
        <v>873216.52</v>
      </c>
      <c r="P46" s="186">
        <f t="shared" si="24"/>
        <v>1203065.8711999999</v>
      </c>
      <c r="Q46" s="188"/>
    </row>
    <row r="47" spans="1:17">
      <c r="A47" s="1729">
        <v>5178</v>
      </c>
      <c r="B47" s="1730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1">
        <f t="shared" si="25"/>
        <v>0</v>
      </c>
      <c r="G47" s="1731">
        <f t="shared" si="25"/>
        <v>0</v>
      </c>
      <c r="H47" s="1732">
        <f t="shared" si="25"/>
        <v>2247870</v>
      </c>
      <c r="I47" s="1732">
        <f t="shared" si="25"/>
        <v>450000</v>
      </c>
      <c r="J47" s="1732">
        <f t="shared" si="25"/>
        <v>360210</v>
      </c>
      <c r="K47" s="1733">
        <f t="shared" si="25"/>
        <v>1921815</v>
      </c>
      <c r="L47" s="139">
        <f>SUM(N47:P47)</f>
        <v>170000</v>
      </c>
      <c r="M47" s="1734">
        <f>SUM(M48:M57)</f>
        <v>0</v>
      </c>
      <c r="N47" s="1733">
        <f>SUM(N48:N57)</f>
        <v>0</v>
      </c>
      <c r="O47" s="1735">
        <f>SUM(O48:O57)</f>
        <v>0</v>
      </c>
      <c r="P47" s="1736">
        <f>SUM(P48:P57)</f>
        <v>170000</v>
      </c>
      <c r="Q47" s="110"/>
    </row>
    <row r="48" spans="1:17" outlineLevel="1">
      <c r="A48" s="232"/>
      <c r="B48" s="1844" t="s">
        <v>1671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45" t="s">
        <v>1915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44" t="s">
        <v>941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44" t="s">
        <v>2292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44" t="s">
        <v>2299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44" t="s">
        <v>2296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44" t="s">
        <v>2298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44" t="s">
        <v>2297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1667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1668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43">
        <v>5139</v>
      </c>
      <c r="B62" s="1744" t="s">
        <v>76</v>
      </c>
      <c r="C62" s="1733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1">
        <f t="shared" si="30"/>
        <v>170900</v>
      </c>
      <c r="G62" s="1731">
        <f t="shared" si="30"/>
        <v>21950</v>
      </c>
      <c r="H62" s="1732">
        <f t="shared" si="30"/>
        <v>155944</v>
      </c>
      <c r="I62" s="1732">
        <f t="shared" si="30"/>
        <v>0</v>
      </c>
      <c r="J62" s="1732">
        <f t="shared" si="30"/>
        <v>55900</v>
      </c>
      <c r="K62" s="1733">
        <f t="shared" si="30"/>
        <v>857797</v>
      </c>
      <c r="L62" s="139">
        <f t="shared" si="28"/>
        <v>2634600</v>
      </c>
      <c r="M62" s="1734">
        <f>SUM(M63:M85)</f>
        <v>0</v>
      </c>
      <c r="N62" s="1733">
        <f>SUM(N63:N85)</f>
        <v>1823850</v>
      </c>
      <c r="O62" s="1735">
        <f>SUM(O63:O85)</f>
        <v>781350</v>
      </c>
      <c r="P62" s="1736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952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878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879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880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881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882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883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884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885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886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887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888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889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ht="26.65">
      <c r="A87" s="222">
        <v>5151</v>
      </c>
      <c r="B87" s="205" t="s">
        <v>890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891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892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1152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955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893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1153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894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895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896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ht="26.65" outlineLevel="1">
      <c r="A104" s="232"/>
      <c r="B104" s="233" t="s">
        <v>897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898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1672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900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901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902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ht="26.65" outlineLevel="1">
      <c r="A110" s="232"/>
      <c r="B110" s="233" t="s">
        <v>903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ht="26.65" outlineLevel="1">
      <c r="A111" s="232"/>
      <c r="B111" s="233" t="s">
        <v>904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905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906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907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908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909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910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911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912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913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914</v>
      </c>
      <c r="B122" s="205" t="s">
        <v>915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ht="26.65">
      <c r="A123" s="222" t="s">
        <v>916</v>
      </c>
      <c r="B123" s="205" t="s">
        <v>917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918</v>
      </c>
      <c r="B124" s="205" t="s">
        <v>919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920</v>
      </c>
      <c r="B125" s="205" t="s">
        <v>921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922</v>
      </c>
      <c r="B126" s="205" t="s">
        <v>923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924</v>
      </c>
      <c r="B127" s="205" t="s">
        <v>925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926</v>
      </c>
      <c r="B128" s="205" t="s">
        <v>927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928</v>
      </c>
      <c r="B129" s="205" t="s">
        <v>929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23" t="s">
        <v>348</v>
      </c>
      <c r="B130" s="1725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26">
        <f t="shared" si="44"/>
        <v>950100</v>
      </c>
      <c r="G130" s="1726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27">
        <f t="shared" si="44"/>
        <v>0</v>
      </c>
      <c r="N130" s="185">
        <f t="shared" si="44"/>
        <v>17260100</v>
      </c>
      <c r="O130" s="1728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24" t="s">
        <v>103</v>
      </c>
      <c r="B132" s="1725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26">
        <f t="shared" si="46"/>
        <v>2349913.4</v>
      </c>
      <c r="G132" s="1726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27">
        <f t="shared" si="46"/>
        <v>2200250</v>
      </c>
      <c r="N132" s="185">
        <f t="shared" si="46"/>
        <v>18536696.120000001</v>
      </c>
      <c r="O132" s="1728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175" t="s">
        <v>581</v>
      </c>
      <c r="B134" s="3176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37">
        <f t="shared" si="47"/>
        <v>2349913.4</v>
      </c>
      <c r="G134" s="1737">
        <f t="shared" si="47"/>
        <v>639803.5</v>
      </c>
      <c r="H134" s="1738">
        <f t="shared" si="47"/>
        <v>12244706.4</v>
      </c>
      <c r="I134" s="1738">
        <f t="shared" si="47"/>
        <v>1109551.8999999999</v>
      </c>
      <c r="J134" s="1738">
        <f t="shared" si="47"/>
        <v>4063143.6</v>
      </c>
      <c r="K134" s="1739">
        <f t="shared" si="47"/>
        <v>21592797.600000001</v>
      </c>
      <c r="L134" s="258">
        <f t="shared" si="47"/>
        <v>53623228.511199996</v>
      </c>
      <c r="M134" s="1740">
        <f t="shared" si="47"/>
        <v>2200250</v>
      </c>
      <c r="N134" s="1739">
        <f t="shared" si="47"/>
        <v>18536696.120000001</v>
      </c>
      <c r="O134" s="1741">
        <f t="shared" si="47"/>
        <v>14647616.52</v>
      </c>
      <c r="P134" s="1742">
        <f t="shared" si="47"/>
        <v>18238665.871199999</v>
      </c>
      <c r="Q134" s="110"/>
    </row>
    <row r="135" spans="1:17" ht="13.9" thickBot="1">
      <c r="A135" s="3175" t="s">
        <v>128</v>
      </c>
      <c r="B135" s="3176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37">
        <f t="shared" si="48"/>
        <v>1349086.6</v>
      </c>
      <c r="G135" s="1737">
        <f t="shared" si="48"/>
        <v>60196.5</v>
      </c>
      <c r="H135" s="1738">
        <f t="shared" si="48"/>
        <v>-4971836.4000000004</v>
      </c>
      <c r="I135" s="1738">
        <f t="shared" si="48"/>
        <v>330448.10000000009</v>
      </c>
      <c r="J135" s="1738">
        <f t="shared" si="48"/>
        <v>297066.39999999991</v>
      </c>
      <c r="K135" s="1739">
        <f t="shared" si="48"/>
        <v>3890017.3999999985</v>
      </c>
      <c r="L135" s="258">
        <f t="shared" si="48"/>
        <v>6912771.4888000041</v>
      </c>
      <c r="M135" s="1740">
        <f t="shared" si="48"/>
        <v>-2200250</v>
      </c>
      <c r="N135" s="1739">
        <f t="shared" si="48"/>
        <v>2473303.879999999</v>
      </c>
      <c r="O135" s="1741">
        <f t="shared" si="48"/>
        <v>3168383.4800000004</v>
      </c>
      <c r="P135" s="1742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28"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938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868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943</v>
      </c>
      <c r="J4" s="121" t="s">
        <v>485</v>
      </c>
      <c r="K4" s="123" t="s">
        <v>1033</v>
      </c>
      <c r="L4" s="119" t="s">
        <v>338</v>
      </c>
      <c r="M4" s="120" t="s">
        <v>944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173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174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174"/>
      <c r="B8" s="146" t="s">
        <v>940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174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174"/>
      <c r="B10" s="146" t="s">
        <v>962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960</v>
      </c>
    </row>
    <row r="11" spans="1:18" outlineLevel="1">
      <c r="A11" s="3174"/>
      <c r="B11" s="146" t="s">
        <v>876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174"/>
      <c r="B12" s="146" t="s">
        <v>942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174"/>
      <c r="B13" s="146" t="s">
        <v>877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174"/>
      <c r="B14" s="146" t="s">
        <v>953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174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174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celkem'!AW22</f>
        <v>20000</v>
      </c>
      <c r="H16" s="151"/>
      <c r="I16" s="152"/>
      <c r="J16" s="151"/>
      <c r="K16" s="154">
        <f>+'Výdaje kapitol celkem'!V22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174"/>
      <c r="B17" s="146" t="s">
        <v>945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celkem'!AK35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174"/>
      <c r="B18" s="146" t="s">
        <v>946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celkem'!AQ35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174"/>
      <c r="B19" s="146" t="s">
        <v>947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celkem'!AZ35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174"/>
      <c r="B20" s="146" t="s">
        <v>948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celkem'!BU35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174"/>
      <c r="B21" s="146" t="s">
        <v>950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celkem'!BX35+'Výdaje kapitol celkem'!CE35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174"/>
      <c r="B22" s="146" t="s">
        <v>949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celkem'!CA35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174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celkem'!CI35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174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celkem'!CL35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174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celkem'!CV34+'Výdaje kapitol celkem'!CV35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174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celkem'!DF34+'Výdaje kapitol celkem'!DL34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174"/>
      <c r="B27" s="579" t="s">
        <v>963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174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celkem'!DI34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951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930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936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931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932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933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934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935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936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179" t="s">
        <v>235</v>
      </c>
      <c r="B47" s="3180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339</v>
      </c>
      <c r="B48" s="109"/>
      <c r="C48" s="190">
        <f>+C6-'Výdaje kapitol celkem'!X45</f>
        <v>-15124697.140000001</v>
      </c>
      <c r="D48" s="190"/>
      <c r="E48" s="190"/>
      <c r="F48" s="191">
        <f>+C5-'Výdaje kapitol celkem'!X78</f>
        <v>-22605152.460000001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963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940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961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876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942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877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952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878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879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880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881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882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883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884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885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886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887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888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889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890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891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892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955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893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954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894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895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896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897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898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899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900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901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902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903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904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905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906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907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908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909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910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911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912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913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914</v>
      </c>
      <c r="B130" s="205" t="s">
        <v>915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916</v>
      </c>
      <c r="B131" s="205" t="s">
        <v>917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918</v>
      </c>
      <c r="B132" s="205" t="s">
        <v>919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920</v>
      </c>
      <c r="B133" s="205" t="s">
        <v>921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922</v>
      </c>
      <c r="B134" s="205" t="s">
        <v>923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924</v>
      </c>
      <c r="B135" s="205" t="s">
        <v>925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926</v>
      </c>
      <c r="B136" s="205" t="s">
        <v>927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928</v>
      </c>
      <c r="B137" s="205" t="s">
        <v>929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170" t="s">
        <v>581</v>
      </c>
      <c r="B142" s="3171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170" t="s">
        <v>128</v>
      </c>
      <c r="B143" s="3171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18" zoomScale="78" zoomScaleNormal="78" workbookViewId="0">
      <selection activeCell="P128" sqref="P128"/>
    </sheetView>
  </sheetViews>
  <sheetFormatPr defaultColWidth="9" defaultRowHeight="13.15"/>
  <cols>
    <col min="1" max="1" width="6.59765625" style="913" customWidth="1"/>
    <col min="2" max="2" width="11" style="899" bestFit="1" customWidth="1"/>
    <col min="3" max="4" width="12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0" t="s">
        <v>853</v>
      </c>
      <c r="B2" s="1761"/>
      <c r="C2" s="1761"/>
      <c r="D2" s="1762"/>
      <c r="E2" s="1762"/>
      <c r="F2" s="1763"/>
      <c r="G2" s="1762"/>
      <c r="H2" s="1762"/>
      <c r="I2" s="1762"/>
      <c r="J2" s="1763"/>
      <c r="K2" s="1762"/>
      <c r="L2" s="1762"/>
      <c r="M2" s="1762"/>
      <c r="N2" s="1762"/>
      <c r="O2" s="1764"/>
      <c r="P2" s="909" t="s">
        <v>864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854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854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854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855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856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857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858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0" t="s">
        <v>859</v>
      </c>
      <c r="B14" s="1761"/>
      <c r="C14" s="1761"/>
      <c r="D14" s="1762"/>
      <c r="E14" s="1762"/>
      <c r="F14" s="1763"/>
      <c r="G14" s="1762"/>
      <c r="H14" s="1762"/>
      <c r="I14" s="1762"/>
      <c r="J14" s="1763"/>
      <c r="K14" s="1762"/>
      <c r="L14" s="1762"/>
      <c r="M14" s="1762"/>
      <c r="N14" s="1762"/>
      <c r="O14" s="1764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854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854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854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855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856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857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858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0" t="s">
        <v>860</v>
      </c>
      <c r="B26" s="1761"/>
      <c r="C26" s="1761"/>
      <c r="D26" s="1762"/>
      <c r="E26" s="1762"/>
      <c r="F26" s="1763"/>
      <c r="G26" s="1762"/>
      <c r="H26" s="1762"/>
      <c r="I26" s="1762"/>
      <c r="J26" s="1763"/>
      <c r="K26" s="1762"/>
      <c r="L26" s="1762"/>
      <c r="M26" s="1762"/>
      <c r="N26" s="1762"/>
      <c r="O26" s="1764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861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>
      <c r="A29" s="900">
        <v>1111</v>
      </c>
      <c r="B29" s="901" t="s">
        <v>854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854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854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855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856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857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858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863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0" t="s">
        <v>862</v>
      </c>
      <c r="B38" s="1761"/>
      <c r="C38" s="1761"/>
      <c r="D38" s="1762"/>
      <c r="E38" s="1762"/>
      <c r="F38" s="1763"/>
      <c r="G38" s="1762"/>
      <c r="H38" s="1762"/>
      <c r="I38" s="1762"/>
      <c r="J38" s="1763"/>
      <c r="K38" s="1762"/>
      <c r="L38" s="1762"/>
      <c r="M38" s="1762"/>
      <c r="N38" s="1762"/>
      <c r="O38" s="1764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874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854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854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854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855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856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857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858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865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0" t="s">
        <v>869</v>
      </c>
      <c r="B50" s="1761"/>
      <c r="C50" s="1761"/>
      <c r="D50" s="1762"/>
      <c r="E50" s="1762"/>
      <c r="F50" s="1763"/>
      <c r="G50" s="1762"/>
      <c r="H50" s="1762"/>
      <c r="I50" s="1762"/>
      <c r="J50" s="1763"/>
      <c r="K50" s="1762"/>
      <c r="L50" s="1762"/>
      <c r="M50" s="1762"/>
      <c r="N50" s="1762"/>
      <c r="O50" s="1764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875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854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181" t="s">
        <v>708</v>
      </c>
    </row>
    <row r="54" spans="1:20" s="924" customFormat="1">
      <c r="A54" s="918">
        <v>1112</v>
      </c>
      <c r="B54" s="919" t="s">
        <v>854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181"/>
    </row>
    <row r="55" spans="1:20" s="924" customFormat="1">
      <c r="A55" s="918">
        <v>1113</v>
      </c>
      <c r="B55" s="919" t="s">
        <v>854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181"/>
    </row>
    <row r="56" spans="1:20" s="924" customFormat="1">
      <c r="A56" s="918">
        <v>1121</v>
      </c>
      <c r="B56" s="919" t="s">
        <v>855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181"/>
    </row>
    <row r="57" spans="1:20" s="924" customFormat="1">
      <c r="A57" s="918">
        <v>1211</v>
      </c>
      <c r="B57" s="919" t="s">
        <v>856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181"/>
    </row>
    <row r="58" spans="1:20">
      <c r="A58" s="900">
        <v>1511</v>
      </c>
      <c r="B58" s="901" t="s">
        <v>857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858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870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0" t="s">
        <v>1155</v>
      </c>
      <c r="B62" s="1761"/>
      <c r="C62" s="1761"/>
      <c r="D62" s="1762"/>
      <c r="E62" s="1762"/>
      <c r="F62" s="1763"/>
      <c r="G62" s="1762"/>
      <c r="H62" s="1762"/>
      <c r="I62" s="1762"/>
      <c r="J62" s="1763"/>
      <c r="K62" s="1762"/>
      <c r="L62" s="1762"/>
      <c r="M62" s="1762"/>
      <c r="N62" s="1762"/>
      <c r="O62" s="1764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1156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854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181" t="s">
        <v>708</v>
      </c>
    </row>
    <row r="66" spans="1:20" s="924" customFormat="1">
      <c r="A66" s="918">
        <v>1112</v>
      </c>
      <c r="B66" s="919" t="s">
        <v>854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181"/>
    </row>
    <row r="67" spans="1:20" s="924" customFormat="1">
      <c r="A67" s="918">
        <v>1113</v>
      </c>
      <c r="B67" s="919" t="s">
        <v>854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181"/>
    </row>
    <row r="68" spans="1:20" s="924" customFormat="1">
      <c r="A68" s="918">
        <v>1121</v>
      </c>
      <c r="B68" s="919" t="s">
        <v>855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181"/>
    </row>
    <row r="69" spans="1:20" s="924" customFormat="1">
      <c r="A69" s="918">
        <v>1211</v>
      </c>
      <c r="B69" s="919" t="s">
        <v>856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181"/>
    </row>
    <row r="70" spans="1:20" s="936" customFormat="1">
      <c r="A70" s="929">
        <v>1511</v>
      </c>
      <c r="B70" s="930" t="s">
        <v>857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858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870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182" t="s">
        <v>708</v>
      </c>
      <c r="B75" s="1837"/>
      <c r="C75" s="1838">
        <f t="shared" ref="C75:O75" si="23">SUM(C65:C69)</f>
        <v>8384265</v>
      </c>
      <c r="D75" s="1838">
        <f t="shared" si="23"/>
        <v>7780872</v>
      </c>
      <c r="E75" s="1838">
        <f t="shared" si="23"/>
        <v>7708123</v>
      </c>
      <c r="F75" s="1838">
        <f t="shared" si="23"/>
        <v>5027303</v>
      </c>
      <c r="G75" s="1838">
        <f t="shared" si="23"/>
        <v>6786988</v>
      </c>
      <c r="H75" s="1838">
        <f t="shared" si="23"/>
        <v>10370099</v>
      </c>
      <c r="I75" s="1838">
        <f t="shared" si="23"/>
        <v>12270774</v>
      </c>
      <c r="J75" s="1838">
        <f t="shared" si="23"/>
        <v>7904369</v>
      </c>
      <c r="K75" s="1838">
        <f t="shared" si="23"/>
        <v>11569825</v>
      </c>
      <c r="L75" s="1838">
        <f t="shared" si="23"/>
        <v>7668678</v>
      </c>
      <c r="M75" s="1838">
        <f t="shared" si="23"/>
        <v>8710449</v>
      </c>
      <c r="N75" s="1838">
        <f t="shared" si="23"/>
        <v>13067850</v>
      </c>
      <c r="O75" s="1838">
        <f t="shared" si="23"/>
        <v>107249595</v>
      </c>
      <c r="P75" s="934"/>
      <c r="Q75" s="937"/>
      <c r="S75" s="937"/>
    </row>
    <row r="76" spans="1:20" s="936" customFormat="1">
      <c r="A76" s="3182"/>
      <c r="B76" s="1837"/>
      <c r="C76" s="1838">
        <f>SUM(C53:C57)</f>
        <v>7380867</v>
      </c>
      <c r="D76" s="1838">
        <f t="shared" ref="D76:O76" si="24">SUM(D53:D58)</f>
        <v>7981867</v>
      </c>
      <c r="E76" s="1838">
        <f t="shared" si="24"/>
        <v>8872247</v>
      </c>
      <c r="F76" s="1838">
        <f t="shared" si="24"/>
        <v>5258008</v>
      </c>
      <c r="G76" s="1838">
        <f t="shared" si="24"/>
        <v>4563512</v>
      </c>
      <c r="H76" s="1838">
        <f t="shared" si="24"/>
        <v>11188844</v>
      </c>
      <c r="I76" s="1838">
        <f t="shared" si="24"/>
        <v>9429360</v>
      </c>
      <c r="J76" s="1838">
        <f t="shared" si="24"/>
        <v>7622794</v>
      </c>
      <c r="K76" s="1838">
        <f t="shared" si="24"/>
        <v>10593664</v>
      </c>
      <c r="L76" s="1838">
        <f t="shared" si="24"/>
        <v>7185941</v>
      </c>
      <c r="M76" s="1838">
        <f t="shared" si="24"/>
        <v>8235239</v>
      </c>
      <c r="N76" s="1838">
        <f t="shared" si="24"/>
        <v>12409065</v>
      </c>
      <c r="O76" s="1838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0" t="s">
        <v>1222</v>
      </c>
      <c r="B78" s="1761"/>
      <c r="C78" s="1761"/>
      <c r="D78" s="1762"/>
      <c r="E78" s="1762"/>
      <c r="F78" s="1763"/>
      <c r="G78" s="1762"/>
      <c r="H78" s="1762"/>
      <c r="I78" s="1762"/>
      <c r="J78" s="1763"/>
      <c r="K78" s="1762"/>
      <c r="L78" s="1762"/>
      <c r="M78" s="1762"/>
      <c r="N78" s="1762"/>
      <c r="O78" s="1764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1917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854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181" t="s">
        <v>708</v>
      </c>
    </row>
    <row r="82" spans="1:20" s="924" customFormat="1">
      <c r="A82" s="918">
        <v>1112</v>
      </c>
      <c r="B82" s="919" t="s">
        <v>854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181"/>
    </row>
    <row r="83" spans="1:20" s="924" customFormat="1">
      <c r="A83" s="918">
        <v>1113</v>
      </c>
      <c r="B83" s="919" t="s">
        <v>854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181"/>
    </row>
    <row r="84" spans="1:20" s="924" customFormat="1">
      <c r="A84" s="918">
        <v>1121</v>
      </c>
      <c r="B84" s="919" t="s">
        <v>855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181"/>
    </row>
    <row r="85" spans="1:20" s="924" customFormat="1">
      <c r="A85" s="918">
        <v>1211</v>
      </c>
      <c r="B85" s="919" t="s">
        <v>856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181"/>
    </row>
    <row r="86" spans="1:20" s="936" customFormat="1">
      <c r="A86" s="929">
        <v>1511</v>
      </c>
      <c r="B86" s="930" t="s">
        <v>857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858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182" t="s">
        <v>708</v>
      </c>
      <c r="B91" s="1837"/>
      <c r="C91" s="1838">
        <f>SUM(C81:C85)</f>
        <v>8210887</v>
      </c>
      <c r="D91" s="1838">
        <f>SUM(D81:D85)</f>
        <v>8615033</v>
      </c>
      <c r="E91" s="1838">
        <f>SUM(E81:E85)</f>
        <v>8877839</v>
      </c>
      <c r="F91" s="1838">
        <f>SUM(F81:F85)</f>
        <v>7219644</v>
      </c>
      <c r="G91" s="1838">
        <f>SUM(G81:G85)</f>
        <v>9402048</v>
      </c>
      <c r="H91" s="1838">
        <f t="shared" ref="H91:J91" si="35">SUM(H81:H85)</f>
        <v>11533018</v>
      </c>
      <c r="I91" s="1838">
        <f t="shared" si="35"/>
        <v>16335806</v>
      </c>
      <c r="J91" s="1838">
        <f t="shared" si="35"/>
        <v>9024647</v>
      </c>
      <c r="K91" s="1838">
        <f t="shared" ref="K91:L91" si="36">SUM(K81:K85)</f>
        <v>13104768</v>
      </c>
      <c r="L91" s="1838">
        <f t="shared" si="36"/>
        <v>8741427</v>
      </c>
      <c r="M91" s="1838">
        <f t="shared" ref="M91:O91" si="37">SUM(M81:M85)</f>
        <v>10625602</v>
      </c>
      <c r="N91" s="1838">
        <f t="shared" si="37"/>
        <v>14060654</v>
      </c>
      <c r="O91" s="1838">
        <f t="shared" si="37"/>
        <v>125751373</v>
      </c>
      <c r="P91" s="934"/>
      <c r="Q91" s="937"/>
      <c r="S91" s="937"/>
    </row>
    <row r="92" spans="1:20" s="936" customFormat="1">
      <c r="A92" s="3182"/>
      <c r="B92" s="1837"/>
      <c r="C92" s="1838">
        <f>SUM(C65:C69)</f>
        <v>8384265</v>
      </c>
      <c r="D92" s="1838">
        <f>SUM(D65:D69)</f>
        <v>7780872</v>
      </c>
      <c r="E92" s="1838">
        <f>SUM(E65:E69)</f>
        <v>7708123</v>
      </c>
      <c r="F92" s="1838">
        <f>SUM(F65:F69)</f>
        <v>5027303</v>
      </c>
      <c r="G92" s="1838">
        <f>SUM(G65:G69)</f>
        <v>6786988</v>
      </c>
      <c r="H92" s="1838">
        <f t="shared" ref="H92:J92" si="38">SUM(H65:H69)</f>
        <v>10370099</v>
      </c>
      <c r="I92" s="1838">
        <f t="shared" si="38"/>
        <v>12270774</v>
      </c>
      <c r="J92" s="1838">
        <f t="shared" si="38"/>
        <v>7904369</v>
      </c>
      <c r="K92" s="1838">
        <f t="shared" ref="K92:L92" si="39">SUM(K65:K69)</f>
        <v>11569825</v>
      </c>
      <c r="L92" s="1838">
        <f t="shared" si="39"/>
        <v>7668678</v>
      </c>
      <c r="M92" s="1838">
        <f t="shared" ref="M92:O92" si="40">SUM(M65:M69)</f>
        <v>8710449</v>
      </c>
      <c r="N92" s="1838">
        <f t="shared" si="40"/>
        <v>13067850</v>
      </c>
      <c r="O92" s="1838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0" t="s">
        <v>1557</v>
      </c>
      <c r="B94" s="1761"/>
      <c r="C94" s="1761"/>
      <c r="D94" s="1762"/>
      <c r="E94" s="1762"/>
      <c r="F94" s="1763"/>
      <c r="G94" s="1762"/>
      <c r="H94" s="1762"/>
      <c r="I94" s="1762"/>
      <c r="J94" s="1763"/>
      <c r="K94" s="1762"/>
      <c r="L94" s="1762"/>
      <c r="M94" s="1762"/>
      <c r="N94" s="1762"/>
      <c r="O94" s="1764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1916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854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181"/>
    </row>
    <row r="98" spans="1:20" s="924" customFormat="1">
      <c r="A98" s="918">
        <v>1112</v>
      </c>
      <c r="B98" s="919" t="s">
        <v>854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181"/>
    </row>
    <row r="99" spans="1:20" s="924" customFormat="1">
      <c r="A99" s="918">
        <v>1113</v>
      </c>
      <c r="B99" s="919" t="s">
        <v>854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181"/>
    </row>
    <row r="100" spans="1:20" s="924" customFormat="1">
      <c r="A100" s="918">
        <v>1121</v>
      </c>
      <c r="B100" s="919" t="s">
        <v>855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181"/>
    </row>
    <row r="101" spans="1:20" s="924" customFormat="1">
      <c r="A101" s="918">
        <v>1211</v>
      </c>
      <c r="B101" s="919" t="s">
        <v>856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181"/>
    </row>
    <row r="102" spans="1:20" s="936" customFormat="1">
      <c r="A102" s="929">
        <v>1511</v>
      </c>
      <c r="B102" s="930" t="s">
        <v>857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858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57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182" t="s">
        <v>708</v>
      </c>
      <c r="B107" s="1837"/>
      <c r="C107" s="1838">
        <f>SUM(C97:C101)</f>
        <v>9815964</v>
      </c>
      <c r="D107" s="1838">
        <f t="shared" ref="D107:N107" si="54">SUM(D97:D101)</f>
        <v>9899764</v>
      </c>
      <c r="E107" s="1838">
        <f t="shared" si="54"/>
        <v>11871847</v>
      </c>
      <c r="F107" s="1838">
        <f t="shared" si="54"/>
        <v>7708893</v>
      </c>
      <c r="G107" s="1838">
        <f t="shared" si="54"/>
        <v>10591150</v>
      </c>
      <c r="H107" s="1838">
        <f t="shared" si="54"/>
        <v>13285186</v>
      </c>
      <c r="I107" s="1838">
        <f t="shared" si="54"/>
        <v>21679599</v>
      </c>
      <c r="J107" s="1838">
        <f t="shared" si="54"/>
        <v>10035881</v>
      </c>
      <c r="K107" s="1838">
        <f t="shared" si="54"/>
        <v>14491988</v>
      </c>
      <c r="L107" s="1838">
        <f t="shared" si="54"/>
        <v>10079334</v>
      </c>
      <c r="M107" s="1838">
        <f t="shared" si="54"/>
        <v>11535686</v>
      </c>
      <c r="N107" s="1838">
        <f t="shared" si="54"/>
        <v>17638537</v>
      </c>
      <c r="O107" s="1838">
        <f t="shared" ref="O107" si="55">SUM(O97:O101)</f>
        <v>148633829</v>
      </c>
      <c r="P107" s="934"/>
      <c r="Q107" s="937"/>
      <c r="S107" s="937"/>
    </row>
    <row r="108" spans="1:20" s="936" customFormat="1">
      <c r="A108" s="3182"/>
      <c r="B108" s="1837"/>
      <c r="C108" s="1838">
        <f>SUM(C81:C85)</f>
        <v>8210887</v>
      </c>
      <c r="D108" s="1838">
        <f t="shared" ref="D108:N108" si="56">SUM(D81:D85)</f>
        <v>8615033</v>
      </c>
      <c r="E108" s="1838">
        <f t="shared" si="56"/>
        <v>8877839</v>
      </c>
      <c r="F108" s="1838">
        <f t="shared" si="56"/>
        <v>7219644</v>
      </c>
      <c r="G108" s="1838">
        <f t="shared" si="56"/>
        <v>9402048</v>
      </c>
      <c r="H108" s="1838">
        <f t="shared" si="56"/>
        <v>11533018</v>
      </c>
      <c r="I108" s="1838">
        <f t="shared" si="56"/>
        <v>16335806</v>
      </c>
      <c r="J108" s="1838">
        <f t="shared" si="56"/>
        <v>9024647</v>
      </c>
      <c r="K108" s="1838">
        <f t="shared" si="56"/>
        <v>13104768</v>
      </c>
      <c r="L108" s="1838">
        <f t="shared" si="56"/>
        <v>8741427</v>
      </c>
      <c r="M108" s="1838">
        <f t="shared" si="56"/>
        <v>10625602</v>
      </c>
      <c r="N108" s="1838">
        <f t="shared" si="56"/>
        <v>14060654</v>
      </c>
      <c r="O108" s="1838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0" t="s">
        <v>2236</v>
      </c>
      <c r="B110" s="1761"/>
      <c r="C110" s="1761"/>
      <c r="D110" s="1762"/>
      <c r="E110" s="1762"/>
      <c r="F110" s="1763"/>
      <c r="G110" s="1762"/>
      <c r="H110" s="1762"/>
      <c r="I110" s="1762"/>
      <c r="J110" s="1763"/>
      <c r="K110" s="1762"/>
      <c r="L110" s="1762"/>
      <c r="M110" s="1762"/>
      <c r="N110" s="1762"/>
      <c r="O110" s="1764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2277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854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181"/>
    </row>
    <row r="114" spans="1:20" s="924" customFormat="1">
      <c r="A114" s="918">
        <v>1112</v>
      </c>
      <c r="B114" s="919" t="s">
        <v>854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181"/>
    </row>
    <row r="115" spans="1:20" s="924" customFormat="1">
      <c r="A115" s="918">
        <v>1113</v>
      </c>
      <c r="B115" s="919" t="s">
        <v>854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181"/>
    </row>
    <row r="116" spans="1:20" s="924" customFormat="1">
      <c r="A116" s="918">
        <v>1121</v>
      </c>
      <c r="B116" s="919" t="s">
        <v>855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181"/>
    </row>
    <row r="117" spans="1:20" s="924" customFormat="1">
      <c r="A117" s="918">
        <v>1211</v>
      </c>
      <c r="B117" s="919" t="s">
        <v>856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181"/>
    </row>
    <row r="118" spans="1:20" s="936" customFormat="1">
      <c r="A118" s="929">
        <v>1511</v>
      </c>
      <c r="B118" s="930" t="s">
        <v>857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858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M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>+O119-O103</f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182" t="s">
        <v>708</v>
      </c>
      <c r="B123" s="1837"/>
      <c r="C123" s="1838">
        <f>SUM(C113:C117)</f>
        <v>10143800</v>
      </c>
      <c r="D123" s="1838">
        <f t="shared" ref="D123:O123" si="67">SUM(D113:D117)</f>
        <v>10390808</v>
      </c>
      <c r="E123" s="1838">
        <f t="shared" si="67"/>
        <v>13572989</v>
      </c>
      <c r="F123" s="1838">
        <f t="shared" si="67"/>
        <v>8006883</v>
      </c>
      <c r="G123" s="1838">
        <f t="shared" si="67"/>
        <v>10145262</v>
      </c>
      <c r="H123" s="1838">
        <f t="shared" si="67"/>
        <v>13783249</v>
      </c>
      <c r="I123" s="1838">
        <f t="shared" si="67"/>
        <v>18382569</v>
      </c>
      <c r="J123" s="1838">
        <f t="shared" si="67"/>
        <v>9992400</v>
      </c>
      <c r="K123" s="1838">
        <f t="shared" si="67"/>
        <v>12111980</v>
      </c>
      <c r="L123" s="1838">
        <f t="shared" si="67"/>
        <v>12036697</v>
      </c>
      <c r="M123" s="1838">
        <f t="shared" si="67"/>
        <v>11226987</v>
      </c>
      <c r="N123" s="1838">
        <f t="shared" si="67"/>
        <v>17598641</v>
      </c>
      <c r="O123" s="1838">
        <f t="shared" si="67"/>
        <v>147392265</v>
      </c>
      <c r="P123" s="934"/>
      <c r="Q123" s="937"/>
      <c r="S123" s="937"/>
    </row>
    <row r="124" spans="1:20" s="936" customFormat="1">
      <c r="A124" s="3182"/>
      <c r="B124" s="1837"/>
      <c r="C124" s="1838">
        <f>SUM(C97:C101)</f>
        <v>9815964</v>
      </c>
      <c r="D124" s="1838">
        <f t="shared" ref="D124:O124" si="68">SUM(D97:D101)</f>
        <v>9899764</v>
      </c>
      <c r="E124" s="1838">
        <f t="shared" si="68"/>
        <v>11871847</v>
      </c>
      <c r="F124" s="1838">
        <f t="shared" si="68"/>
        <v>7708893</v>
      </c>
      <c r="G124" s="1838">
        <f t="shared" si="68"/>
        <v>10591150</v>
      </c>
      <c r="H124" s="1838">
        <f t="shared" si="68"/>
        <v>13285186</v>
      </c>
      <c r="I124" s="1838">
        <f t="shared" si="68"/>
        <v>21679599</v>
      </c>
      <c r="J124" s="1838">
        <f t="shared" si="68"/>
        <v>10035881</v>
      </c>
      <c r="K124" s="1838">
        <f t="shared" si="68"/>
        <v>14491988</v>
      </c>
      <c r="L124" s="1838">
        <f t="shared" si="68"/>
        <v>10079334</v>
      </c>
      <c r="M124" s="1838">
        <f t="shared" si="68"/>
        <v>11535686</v>
      </c>
      <c r="N124" s="1838">
        <f t="shared" si="68"/>
        <v>17638537</v>
      </c>
      <c r="O124" s="1838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0" t="s">
        <v>2571</v>
      </c>
      <c r="B126" s="1761"/>
      <c r="C126" s="1761"/>
      <c r="D126" s="1762"/>
      <c r="E126" s="1762"/>
      <c r="F126" s="1763"/>
      <c r="G126" s="1762"/>
      <c r="H126" s="1762"/>
      <c r="I126" s="1762"/>
      <c r="J126" s="1763"/>
      <c r="K126" s="1762"/>
      <c r="L126" s="1762"/>
      <c r="M126" s="1762"/>
      <c r="N126" s="1762"/>
      <c r="O126" s="1764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2572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854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2226515</v>
      </c>
      <c r="L129" s="920">
        <v>2390404</v>
      </c>
      <c r="M129" s="920">
        <v>2423078</v>
      </c>
      <c r="N129" s="920">
        <v>2901709</v>
      </c>
      <c r="O129" s="921">
        <f>SUM(C129:N129)</f>
        <v>28658882</v>
      </c>
      <c r="P129" s="922"/>
      <c r="Q129" s="923">
        <f>+SUM(C129:D129)</f>
        <v>4813753</v>
      </c>
      <c r="S129" s="927">
        <f>+Q129/2*12</f>
        <v>28882518</v>
      </c>
      <c r="T129" s="3181"/>
    </row>
    <row r="130" spans="1:20" s="924" customFormat="1">
      <c r="A130" s="918">
        <v>1112</v>
      </c>
      <c r="B130" s="919" t="s">
        <v>854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358721</v>
      </c>
      <c r="L130" s="920">
        <v>163478</v>
      </c>
      <c r="M130" s="920">
        <v>95996</v>
      </c>
      <c r="N130" s="920">
        <v>538496</v>
      </c>
      <c r="O130" s="921">
        <f t="shared" ref="O130:O134" si="70">SUM(C130:N130)</f>
        <v>2691667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181"/>
    </row>
    <row r="131" spans="1:20" s="924" customFormat="1">
      <c r="A131" s="918">
        <v>1113</v>
      </c>
      <c r="B131" s="919" t="s">
        <v>854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488951</v>
      </c>
      <c r="L131" s="920">
        <v>452269</v>
      </c>
      <c r="M131" s="920">
        <v>406492</v>
      </c>
      <c r="N131" s="920">
        <v>403898</v>
      </c>
      <c r="O131" s="921">
        <f t="shared" si="70"/>
        <v>5363653</v>
      </c>
      <c r="P131" s="922"/>
      <c r="Q131" s="923">
        <f t="shared" si="71"/>
        <v>784989</v>
      </c>
      <c r="S131" s="927">
        <f t="shared" si="72"/>
        <v>4709934</v>
      </c>
      <c r="T131" s="3181"/>
    </row>
    <row r="132" spans="1:20" s="924" customFormat="1">
      <c r="A132" s="918">
        <v>1121</v>
      </c>
      <c r="B132" s="919" t="s">
        <v>855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5773702</v>
      </c>
      <c r="L132" s="920">
        <v>2571572</v>
      </c>
      <c r="M132" s="920">
        <v>228848</v>
      </c>
      <c r="N132" s="920">
        <v>7941439</v>
      </c>
      <c r="O132" s="921">
        <f t="shared" si="70"/>
        <v>41295586</v>
      </c>
      <c r="P132" s="922"/>
      <c r="Q132" s="923">
        <f t="shared" si="71"/>
        <v>1012297</v>
      </c>
      <c r="S132" s="927">
        <f t="shared" si="72"/>
        <v>6073782</v>
      </c>
      <c r="T132" s="3181"/>
    </row>
    <row r="133" spans="1:20" s="924" customFormat="1">
      <c r="A133" s="918">
        <v>1211</v>
      </c>
      <c r="B133" s="919" t="s">
        <v>856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5900457</v>
      </c>
      <c r="L133" s="920">
        <v>5956181</v>
      </c>
      <c r="M133" s="920">
        <v>8156015</v>
      </c>
      <c r="N133" s="920">
        <v>7060154</v>
      </c>
      <c r="O133" s="921">
        <f t="shared" si="70"/>
        <v>77120048</v>
      </c>
      <c r="P133" s="922"/>
      <c r="Q133" s="923">
        <f t="shared" si="71"/>
        <v>13984676</v>
      </c>
      <c r="S133" s="927">
        <f t="shared" si="72"/>
        <v>83908056</v>
      </c>
      <c r="T133" s="3181"/>
    </row>
    <row r="134" spans="1:20" s="936" customFormat="1">
      <c r="A134" s="929">
        <v>1511</v>
      </c>
      <c r="B134" s="930" t="s">
        <v>857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43212</v>
      </c>
      <c r="L134" s="932">
        <v>45070</v>
      </c>
      <c r="M134" s="932">
        <v>28649</v>
      </c>
      <c r="N134" s="932">
        <v>2595544</v>
      </c>
      <c r="O134" s="933">
        <f t="shared" si="70"/>
        <v>14187564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858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14791558</v>
      </c>
      <c r="L135" s="907">
        <f t="shared" si="73"/>
        <v>11578974</v>
      </c>
      <c r="M135" s="907">
        <f t="shared" si="73"/>
        <v>11339078</v>
      </c>
      <c r="N135" s="907">
        <f t="shared" si="73"/>
        <v>21441240</v>
      </c>
      <c r="O135" s="908">
        <f>SUM(O129:O134)</f>
        <v>169317400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L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2562983</v>
      </c>
      <c r="L136" s="898">
        <f t="shared" si="74"/>
        <v>-488897</v>
      </c>
      <c r="M136" s="898">
        <f t="shared" ref="M136:N136" si="75">+M135-M119</f>
        <v>58154</v>
      </c>
      <c r="N136" s="898">
        <f t="shared" si="75"/>
        <v>1437273</v>
      </c>
      <c r="O136" s="898">
        <f>+O135-O119</f>
        <v>8134234</v>
      </c>
    </row>
    <row r="137" spans="1:20">
      <c r="C137" s="939">
        <f>+(C135-C119)/C135</f>
        <v>2.1502407526703942E-2</v>
      </c>
      <c r="D137" s="939">
        <f t="shared" ref="D137:O137" si="76">+(D135-D119)/D135</f>
        <v>2.5305041569230281E-2</v>
      </c>
      <c r="E137" s="939">
        <f t="shared" si="76"/>
        <v>-0.1184889188451848</v>
      </c>
      <c r="F137" s="939">
        <f t="shared" si="76"/>
        <v>0.22292902471494994</v>
      </c>
      <c r="G137" s="939">
        <f t="shared" si="76"/>
        <v>5.8949485412824881E-2</v>
      </c>
      <c r="H137" s="939">
        <f t="shared" si="76"/>
        <v>3.7262990374478666E-2</v>
      </c>
      <c r="I137" s="939">
        <f t="shared" si="76"/>
        <v>5.8480125211764329E-2</v>
      </c>
      <c r="J137" s="939">
        <f t="shared" si="76"/>
        <v>4.0751257690539368E-2</v>
      </c>
      <c r="K137" s="939">
        <f t="shared" si="76"/>
        <v>0.17327336308994631</v>
      </c>
      <c r="L137" s="939">
        <f t="shared" si="76"/>
        <v>-4.2222825614773814E-2</v>
      </c>
      <c r="M137" s="939">
        <f t="shared" ref="M137:N137" si="77">+(M135-M119)/M135</f>
        <v>5.1286356791971979E-3</v>
      </c>
      <c r="N137" s="939">
        <f t="shared" si="77"/>
        <v>6.7033110025353018E-2</v>
      </c>
      <c r="O137" s="939">
        <f t="shared" si="76"/>
        <v>4.8041335385494932E-2</v>
      </c>
    </row>
    <row r="138" spans="1:20">
      <c r="C138" s="898"/>
      <c r="J138" s="899"/>
      <c r="O138" s="897"/>
    </row>
    <row r="139" spans="1:20" s="936" customFormat="1">
      <c r="A139" s="3182" t="s">
        <v>708</v>
      </c>
      <c r="B139" s="1837"/>
      <c r="C139" s="1838">
        <f>SUM(C129:C133)</f>
        <v>10176609</v>
      </c>
      <c r="D139" s="1838">
        <f t="shared" ref="D139:O139" si="78">SUM(D129:D133)</f>
        <v>10623079</v>
      </c>
      <c r="E139" s="1838">
        <f t="shared" si="78"/>
        <v>12126595</v>
      </c>
      <c r="F139" s="1838">
        <f t="shared" si="78"/>
        <v>10306450</v>
      </c>
      <c r="G139" s="1838">
        <f t="shared" si="78"/>
        <v>10790883</v>
      </c>
      <c r="H139" s="1838">
        <f t="shared" si="78"/>
        <v>13567860</v>
      </c>
      <c r="I139" s="1838">
        <f t="shared" si="78"/>
        <v>20682266</v>
      </c>
      <c r="J139" s="1838">
        <f t="shared" si="78"/>
        <v>10417719</v>
      </c>
      <c r="K139" s="1838">
        <f t="shared" si="78"/>
        <v>14748346</v>
      </c>
      <c r="L139" s="1838">
        <f t="shared" si="78"/>
        <v>11533904</v>
      </c>
      <c r="M139" s="1838">
        <f t="shared" si="78"/>
        <v>11310429</v>
      </c>
      <c r="N139" s="1838">
        <f t="shared" si="78"/>
        <v>18845696</v>
      </c>
      <c r="O139" s="1838">
        <f t="shared" si="78"/>
        <v>155129836</v>
      </c>
      <c r="P139" s="934"/>
      <c r="Q139" s="937"/>
      <c r="S139" s="937"/>
    </row>
    <row r="140" spans="1:20" s="936" customFormat="1">
      <c r="A140" s="3182"/>
      <c r="B140" s="1837"/>
      <c r="C140" s="1838">
        <f>SUM(C113:C117)</f>
        <v>10143800</v>
      </c>
      <c r="D140" s="1838">
        <f t="shared" ref="D140:O140" si="79">SUM(D113:D117)</f>
        <v>10390808</v>
      </c>
      <c r="E140" s="1838">
        <f t="shared" si="79"/>
        <v>13572989</v>
      </c>
      <c r="F140" s="1838">
        <f t="shared" si="79"/>
        <v>8006883</v>
      </c>
      <c r="G140" s="1838">
        <f t="shared" si="79"/>
        <v>10145262</v>
      </c>
      <c r="H140" s="1838">
        <f t="shared" si="79"/>
        <v>13783249</v>
      </c>
      <c r="I140" s="1838">
        <f t="shared" si="79"/>
        <v>18382569</v>
      </c>
      <c r="J140" s="1838">
        <f t="shared" si="79"/>
        <v>9992400</v>
      </c>
      <c r="K140" s="1838">
        <f t="shared" si="79"/>
        <v>12111980</v>
      </c>
      <c r="L140" s="1838">
        <f t="shared" si="79"/>
        <v>12036697</v>
      </c>
      <c r="M140" s="1838">
        <f t="shared" si="79"/>
        <v>11226987</v>
      </c>
      <c r="N140" s="1838">
        <f t="shared" si="79"/>
        <v>17598641</v>
      </c>
      <c r="O140" s="1838">
        <f t="shared" si="79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80">+(D139-D140)/D139</f>
        <v>2.1864753147369045E-2</v>
      </c>
      <c r="E141" s="939">
        <f t="shared" si="80"/>
        <v>-0.11927453666919692</v>
      </c>
      <c r="F141" s="939">
        <f t="shared" si="80"/>
        <v>0.2231192117557452</v>
      </c>
      <c r="G141" s="939">
        <f t="shared" si="80"/>
        <v>5.9830228907124652E-2</v>
      </c>
      <c r="H141" s="939">
        <f t="shared" si="80"/>
        <v>-1.5874942695458236E-2</v>
      </c>
      <c r="I141" s="939">
        <f t="shared" si="80"/>
        <v>0.11119173305284827</v>
      </c>
      <c r="J141" s="939">
        <f t="shared" si="80"/>
        <v>4.0826499543710093E-2</v>
      </c>
      <c r="K141" s="939">
        <f t="shared" si="80"/>
        <v>0.17875672295727263</v>
      </c>
      <c r="L141" s="939">
        <f t="shared" si="80"/>
        <v>-4.3592611833772846E-2</v>
      </c>
      <c r="M141" s="939">
        <f t="shared" si="80"/>
        <v>7.3774389989981811E-3</v>
      </c>
      <c r="N141" s="939">
        <f t="shared" si="80"/>
        <v>6.6171872877499455E-2</v>
      </c>
      <c r="O141" s="939">
        <f t="shared" si="80"/>
        <v>4.9878032488863071E-2</v>
      </c>
    </row>
  </sheetData>
  <sheetProtection algorithmName="SHA-512" hashValue="j1SrBsfjDKWYEombZdjc6FIK20jvVaX80bjjR2HJQx/2wIEcgmVovtu/43+zWwsldp75JdpeFNnqIB+gTujlkA==" saltValue="GffbfEOBLqe+fK3RA4TrGA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183" t="s">
        <v>1093</v>
      </c>
      <c r="E2" s="3184"/>
      <c r="F2" s="3185" t="s">
        <v>1094</v>
      </c>
      <c r="G2" s="3186"/>
      <c r="H2" s="3183" t="s">
        <v>1100</v>
      </c>
      <c r="I2" s="3187"/>
      <c r="J2" s="304"/>
    </row>
    <row r="3" spans="1:10" ht="13.5" thickBot="1">
      <c r="C3" s="824"/>
      <c r="D3" s="825" t="s">
        <v>1095</v>
      </c>
      <c r="E3" s="826" t="s">
        <v>5</v>
      </c>
      <c r="F3" s="827" t="s">
        <v>1095</v>
      </c>
      <c r="G3" s="828" t="s">
        <v>5</v>
      </c>
      <c r="H3" s="825" t="s">
        <v>1095</v>
      </c>
      <c r="I3" s="828" t="s">
        <v>5</v>
      </c>
    </row>
    <row r="4" spans="1:10" ht="13.5">
      <c r="A4" s="847" t="s">
        <v>1099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1098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1096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1097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9CDC0-96E1-4E36-80EC-47497DA0674D}">
  <dimension ref="A1:L18"/>
  <sheetViews>
    <sheetView workbookViewId="0">
      <selection activeCell="H21" sqref="H21"/>
    </sheetView>
  </sheetViews>
  <sheetFormatPr defaultRowHeight="12.75"/>
  <cols>
    <col min="1" max="1" width="9.265625" bestFit="1" customWidth="1"/>
    <col min="2" max="4" width="11.1328125" bestFit="1" customWidth="1"/>
    <col min="5" max="5" width="12.1328125" bestFit="1" customWidth="1"/>
    <col min="6" max="6" width="11.1328125" bestFit="1" customWidth="1"/>
    <col min="7" max="7" width="12.1328125" bestFit="1" customWidth="1"/>
    <col min="8" max="8" width="11.1328125" bestFit="1" customWidth="1"/>
    <col min="9" max="9" width="12.1328125" bestFit="1" customWidth="1"/>
    <col min="10" max="12" width="11.1328125" bestFit="1" customWidth="1"/>
  </cols>
  <sheetData>
    <row r="1" spans="1:12" ht="14.25">
      <c r="A1" s="3083"/>
      <c r="B1" s="3086">
        <v>1</v>
      </c>
      <c r="C1" s="3086">
        <v>2</v>
      </c>
      <c r="D1" s="3086">
        <v>3</v>
      </c>
      <c r="E1" s="3086">
        <v>4</v>
      </c>
      <c r="F1" s="3086">
        <v>5</v>
      </c>
      <c r="G1" s="3086">
        <v>6</v>
      </c>
      <c r="H1" s="3086">
        <v>7</v>
      </c>
      <c r="I1" s="3086">
        <v>8</v>
      </c>
      <c r="J1" s="3086">
        <v>9</v>
      </c>
      <c r="K1" s="3086">
        <v>10</v>
      </c>
      <c r="L1" s="3086">
        <v>11</v>
      </c>
    </row>
    <row r="2" spans="1:12" ht="14.25">
      <c r="A2" s="3085" t="s">
        <v>2883</v>
      </c>
      <c r="B2" s="3084">
        <v>93758</v>
      </c>
      <c r="C2" s="3084">
        <v>135262</v>
      </c>
      <c r="D2" s="3084">
        <v>1802221</v>
      </c>
      <c r="E2" s="3084">
        <v>4834129</v>
      </c>
      <c r="F2" s="3084">
        <v>808000.35</v>
      </c>
      <c r="G2" s="3084">
        <v>296513.99</v>
      </c>
      <c r="H2" s="3084">
        <v>262827.55</v>
      </c>
      <c r="I2" s="3084">
        <v>591762.94999999995</v>
      </c>
      <c r="J2" s="3084">
        <v>691876.81</v>
      </c>
      <c r="K2" s="3084">
        <v>890489.4</v>
      </c>
      <c r="L2" s="3084">
        <v>1124442</v>
      </c>
    </row>
    <row r="3" spans="1:12" ht="14.25">
      <c r="A3" s="3085" t="s">
        <v>2884</v>
      </c>
      <c r="B3" s="3084">
        <v>3339511.4899999998</v>
      </c>
      <c r="C3" s="3084">
        <v>2880620.71</v>
      </c>
      <c r="D3" s="3084">
        <v>1640033.15</v>
      </c>
      <c r="E3" s="3084">
        <v>3483602.07</v>
      </c>
      <c r="F3" s="3084">
        <v>2231858.6</v>
      </c>
      <c r="G3" s="3084">
        <v>1702212.08</v>
      </c>
      <c r="H3" s="3084">
        <v>3001483.98</v>
      </c>
      <c r="I3" s="3084">
        <v>5874469.4700000016</v>
      </c>
      <c r="J3" s="3084">
        <v>3216195.39</v>
      </c>
      <c r="K3" s="3084">
        <v>2260204.2199999997</v>
      </c>
      <c r="L3" s="3084">
        <v>1072304.7300000002</v>
      </c>
    </row>
    <row r="4" spans="1:12" ht="14.25">
      <c r="A4" s="3085" t="s">
        <v>2885</v>
      </c>
      <c r="B4" s="3084">
        <v>955969.75</v>
      </c>
      <c r="C4" s="3084">
        <v>860064.25</v>
      </c>
      <c r="D4" s="3084">
        <v>1283838.25</v>
      </c>
      <c r="E4" s="3084">
        <v>1841527.75</v>
      </c>
      <c r="F4" s="3084">
        <v>841267</v>
      </c>
      <c r="G4" s="3084">
        <v>1320464.5</v>
      </c>
      <c r="H4" s="3084">
        <v>1636681</v>
      </c>
      <c r="I4" s="3084">
        <v>841867</v>
      </c>
      <c r="J4" s="3084">
        <v>1870291.5</v>
      </c>
      <c r="K4" s="3084">
        <v>1205282.6000000001</v>
      </c>
      <c r="L4" s="3084">
        <v>856267</v>
      </c>
    </row>
    <row r="5" spans="1:12" ht="14.25">
      <c r="A5" s="3085" t="s">
        <v>2886</v>
      </c>
      <c r="B5" s="3083"/>
      <c r="C5" s="3084">
        <v>5101890.91</v>
      </c>
      <c r="D5" s="3083"/>
      <c r="E5" s="3084">
        <v>11658851.970000001</v>
      </c>
      <c r="F5" s="3084">
        <v>8831500.3599999994</v>
      </c>
      <c r="G5" s="3083"/>
      <c r="H5" s="3084">
        <v>5799314.5899999999</v>
      </c>
      <c r="I5" s="3084">
        <v>168445.92</v>
      </c>
      <c r="J5" s="3084">
        <v>1857501.92</v>
      </c>
      <c r="K5" s="3083"/>
      <c r="L5" s="3083"/>
    </row>
    <row r="8" spans="1:12" ht="14.25">
      <c r="A8" s="3085" t="s">
        <v>2887</v>
      </c>
      <c r="B8" s="3084">
        <v>3091048</v>
      </c>
      <c r="C8" s="3084">
        <v>3099073</v>
      </c>
      <c r="D8" s="3084">
        <v>3195001</v>
      </c>
      <c r="E8" s="3084">
        <v>3309519</v>
      </c>
      <c r="F8" s="3084">
        <v>3273050</v>
      </c>
      <c r="G8" s="3084">
        <v>4897594</v>
      </c>
      <c r="H8" s="3084">
        <v>3555491</v>
      </c>
      <c r="I8" s="3084">
        <v>3429860</v>
      </c>
      <c r="J8" s="3084">
        <v>3325509</v>
      </c>
      <c r="K8" s="3084">
        <v>3532842.36</v>
      </c>
      <c r="L8" s="3084">
        <v>3229883</v>
      </c>
    </row>
    <row r="9" spans="1:12" ht="14.25">
      <c r="A9" s="3085" t="s">
        <v>2888</v>
      </c>
      <c r="B9" s="3084">
        <v>143162.59</v>
      </c>
      <c r="C9" s="3084">
        <v>122430.07</v>
      </c>
      <c r="D9" s="3084">
        <v>152885.75</v>
      </c>
      <c r="E9" s="3084">
        <v>158930.88</v>
      </c>
      <c r="F9" s="3084">
        <v>163536.12</v>
      </c>
      <c r="G9" s="3084">
        <v>131243.6</v>
      </c>
      <c r="H9" s="3084">
        <v>89528.77</v>
      </c>
      <c r="I9" s="3084">
        <v>120627.99</v>
      </c>
      <c r="J9" s="3084">
        <v>303080.95</v>
      </c>
      <c r="K9" s="3084">
        <v>319005.34999999998</v>
      </c>
      <c r="L9" s="3084">
        <v>353148.68</v>
      </c>
    </row>
    <row r="10" spans="1:12" ht="14.25">
      <c r="A10" s="3085" t="s">
        <v>2889</v>
      </c>
      <c r="B10" s="3084">
        <v>475363.85</v>
      </c>
      <c r="C10" s="3084">
        <v>652864.37</v>
      </c>
      <c r="D10" s="3084">
        <v>547129.84</v>
      </c>
      <c r="E10" s="3084">
        <v>1130820.9800000002</v>
      </c>
      <c r="F10" s="3084">
        <v>-1502.3399999999674</v>
      </c>
      <c r="G10" s="3084">
        <v>-903330.14</v>
      </c>
      <c r="H10" s="3084">
        <v>619954.4</v>
      </c>
      <c r="I10" s="3084">
        <v>484737.65</v>
      </c>
      <c r="J10" s="3084">
        <v>483495.03</v>
      </c>
      <c r="K10" s="3084">
        <v>663508.92999999993</v>
      </c>
      <c r="L10" s="3084">
        <v>462344.71</v>
      </c>
    </row>
    <row r="11" spans="1:12" ht="14.25">
      <c r="A11" s="3085" t="s">
        <v>2890</v>
      </c>
      <c r="B11" s="3084">
        <v>2125810.8299999996</v>
      </c>
      <c r="C11" s="3084">
        <v>2940107.85</v>
      </c>
      <c r="D11" s="3084">
        <v>1745601.13</v>
      </c>
      <c r="E11" s="3084">
        <v>3934870.61</v>
      </c>
      <c r="F11" s="3084">
        <v>2069143.27</v>
      </c>
      <c r="G11" s="3084">
        <v>1517218.2400000002</v>
      </c>
      <c r="H11" s="3084">
        <v>2618822.4699999993</v>
      </c>
      <c r="I11" s="3084">
        <v>16046411.59</v>
      </c>
      <c r="J11" s="3084">
        <v>1921541.17</v>
      </c>
      <c r="K11" s="3084">
        <v>2909687.9699999997</v>
      </c>
      <c r="L11" s="3084">
        <v>4763941.9799999995</v>
      </c>
    </row>
    <row r="12" spans="1:12" ht="14.25">
      <c r="A12" s="3085" t="s">
        <v>2891</v>
      </c>
      <c r="B12" s="3084">
        <v>4843283</v>
      </c>
      <c r="C12" s="3084">
        <v>4843283</v>
      </c>
      <c r="D12" s="3084">
        <v>8277602</v>
      </c>
      <c r="E12" s="3084">
        <v>4943283</v>
      </c>
      <c r="F12" s="3084">
        <v>4843283</v>
      </c>
      <c r="G12" s="3084">
        <v>4843283</v>
      </c>
      <c r="H12" s="3084">
        <v>4923283</v>
      </c>
      <c r="I12" s="3084">
        <v>4843283</v>
      </c>
      <c r="J12" s="3084">
        <v>4843283</v>
      </c>
      <c r="K12" s="3084">
        <v>4943283</v>
      </c>
      <c r="L12" s="3084">
        <v>4843283</v>
      </c>
    </row>
    <row r="13" spans="1:12" ht="14.25">
      <c r="A13" s="3085" t="s">
        <v>2892</v>
      </c>
      <c r="B13" s="3084">
        <v>55792</v>
      </c>
      <c r="C13" s="3084">
        <v>1249666.33</v>
      </c>
      <c r="D13" s="3084">
        <v>358309.2</v>
      </c>
      <c r="E13" s="3084">
        <v>475745.19</v>
      </c>
      <c r="F13" s="3084">
        <v>230818.9</v>
      </c>
      <c r="G13" s="3084">
        <v>324219.51</v>
      </c>
      <c r="H13" s="3084">
        <v>73350.990000000005</v>
      </c>
      <c r="I13" s="3084">
        <v>234543</v>
      </c>
      <c r="J13" s="3084">
        <v>324077</v>
      </c>
      <c r="K13" s="3084">
        <v>93901</v>
      </c>
      <c r="L13" s="3084">
        <v>138153</v>
      </c>
    </row>
    <row r="14" spans="1:12" ht="14.25">
      <c r="A14" s="3085" t="s">
        <v>129</v>
      </c>
      <c r="B14" s="3084">
        <v>139772.15</v>
      </c>
      <c r="C14" s="3084">
        <v>118957.41</v>
      </c>
      <c r="D14" s="3084">
        <v>246206.64</v>
      </c>
      <c r="E14" s="3084">
        <v>152459.29999999999</v>
      </c>
      <c r="F14" s="3084">
        <v>176782.26</v>
      </c>
      <c r="G14" s="3084">
        <v>256266.66</v>
      </c>
      <c r="H14" s="3084">
        <v>153372.76999999999</v>
      </c>
      <c r="I14" s="3084">
        <v>160098.59</v>
      </c>
      <c r="J14" s="3084">
        <v>272526.15999999997</v>
      </c>
      <c r="K14" s="3084">
        <v>167284.07</v>
      </c>
      <c r="L14" s="3084">
        <v>161336.42000000001</v>
      </c>
    </row>
    <row r="15" spans="1:12" ht="14.25">
      <c r="A15" s="3085" t="s">
        <v>2893</v>
      </c>
      <c r="B15" s="3084">
        <v>2458918.58</v>
      </c>
      <c r="C15" s="3084">
        <v>0</v>
      </c>
      <c r="D15" s="3084">
        <v>4549398</v>
      </c>
      <c r="E15" s="3084">
        <v>16940</v>
      </c>
      <c r="F15" s="3084">
        <v>733158</v>
      </c>
      <c r="G15" s="3084">
        <v>2019435.97</v>
      </c>
      <c r="H15" s="3084">
        <v>353279.51</v>
      </c>
      <c r="I15" s="3084">
        <v>925904.83</v>
      </c>
      <c r="J15" s="3084">
        <v>2470178</v>
      </c>
      <c r="K15" s="3084">
        <v>365975</v>
      </c>
      <c r="L15" s="3084">
        <v>6698255.9100000001</v>
      </c>
    </row>
    <row r="16" spans="1:12" ht="14.25">
      <c r="A16" s="3085">
        <v>6349</v>
      </c>
      <c r="B16" s="3083"/>
      <c r="C16" s="3084">
        <v>5101890.91</v>
      </c>
      <c r="D16" s="3083"/>
      <c r="E16" s="3084">
        <v>11658851.970000001</v>
      </c>
      <c r="F16" s="3084">
        <v>8831500.3599999994</v>
      </c>
      <c r="G16" s="3083"/>
      <c r="H16" s="3084">
        <v>5799314.5899999999</v>
      </c>
      <c r="I16" s="3084">
        <v>168445.92</v>
      </c>
      <c r="J16" s="3084">
        <v>1857501.92</v>
      </c>
      <c r="K16" s="3083"/>
      <c r="L16" s="3083"/>
    </row>
    <row r="17" spans="1:12" ht="14.25">
      <c r="A17" s="3085">
        <v>6351</v>
      </c>
      <c r="B17" s="3084">
        <v>2638690</v>
      </c>
      <c r="C17" s="3084">
        <v>1854840</v>
      </c>
      <c r="D17" s="3084">
        <v>354840</v>
      </c>
      <c r="E17" s="3084">
        <v>354840</v>
      </c>
      <c r="F17" s="3084">
        <v>354840</v>
      </c>
      <c r="G17" s="3084">
        <v>354840</v>
      </c>
      <c r="H17" s="3084">
        <v>354840</v>
      </c>
      <c r="I17" s="3084">
        <v>354840</v>
      </c>
      <c r="J17" s="3084">
        <v>354840</v>
      </c>
      <c r="K17" s="3084">
        <v>4278688.4000000004</v>
      </c>
      <c r="L17" s="3084">
        <v>354840</v>
      </c>
    </row>
    <row r="18" spans="1:12" ht="14.25">
      <c r="A18" s="3085">
        <v>8124</v>
      </c>
      <c r="B18" s="3084">
        <v>2301516.87</v>
      </c>
      <c r="C18" s="3084">
        <v>5706624.9400000004</v>
      </c>
      <c r="D18" s="3084">
        <v>483345.87</v>
      </c>
      <c r="E18" s="3084">
        <v>5706624.9400000004</v>
      </c>
      <c r="F18" s="3084">
        <v>483345.87</v>
      </c>
      <c r="G18" s="3084">
        <v>11963751.92</v>
      </c>
      <c r="H18" s="3084">
        <v>6209168.9400000004</v>
      </c>
      <c r="I18" s="3084">
        <v>483345.87</v>
      </c>
      <c r="J18" s="3084">
        <v>483345.87</v>
      </c>
      <c r="K18" s="3084">
        <v>1049385.8700000001</v>
      </c>
      <c r="L18" s="3084">
        <v>483345.87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topLeftCell="I28" workbookViewId="0">
      <selection activeCell="O53" sqref="O53"/>
    </sheetView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5" width="13.3984375" style="946" bestFit="1" customWidth="1"/>
    <col min="16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58" t="s">
        <v>127</v>
      </c>
      <c r="B1" s="311"/>
      <c r="C1" s="1375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59" t="s">
        <v>476</v>
      </c>
      <c r="B2" s="1376"/>
      <c r="C2" s="311"/>
      <c r="D2" s="1374" t="s">
        <v>2876</v>
      </c>
      <c r="E2" s="943"/>
      <c r="F2" s="943"/>
      <c r="H2" s="945"/>
      <c r="I2" s="943"/>
      <c r="J2" s="943"/>
      <c r="L2" s="945"/>
      <c r="M2" s="944">
        <f>+L6+J6</f>
        <v>4904930</v>
      </c>
      <c r="N2" s="943"/>
      <c r="O2" s="943"/>
      <c r="P2" s="948"/>
      <c r="Q2" s="945"/>
      <c r="R2" s="940"/>
      <c r="S2" s="945"/>
      <c r="T2" s="940"/>
    </row>
    <row r="3" spans="1:20" s="1373" customFormat="1" ht="13.9" thickBot="1">
      <c r="A3" s="3201" t="s">
        <v>475</v>
      </c>
      <c r="B3" s="3202"/>
      <c r="C3" s="3203"/>
      <c r="D3" s="1368" t="s">
        <v>610</v>
      </c>
      <c r="E3" s="1369" t="s">
        <v>611</v>
      </c>
      <c r="F3" s="1369" t="s">
        <v>612</v>
      </c>
      <c r="G3" s="1369" t="s">
        <v>613</v>
      </c>
      <c r="H3" s="1369" t="s">
        <v>614</v>
      </c>
      <c r="I3" s="1369" t="s">
        <v>189</v>
      </c>
      <c r="J3" s="1369" t="s">
        <v>190</v>
      </c>
      <c r="K3" s="1369" t="s">
        <v>615</v>
      </c>
      <c r="L3" s="1369" t="s">
        <v>616</v>
      </c>
      <c r="M3" s="1369" t="s">
        <v>617</v>
      </c>
      <c r="N3" s="1369" t="s">
        <v>618</v>
      </c>
      <c r="O3" s="1370" t="s">
        <v>619</v>
      </c>
      <c r="P3" s="1370" t="s">
        <v>1499</v>
      </c>
      <c r="Q3" s="1371"/>
      <c r="R3" s="1372"/>
      <c r="S3" s="1371"/>
      <c r="T3" s="1372"/>
    </row>
    <row r="4" spans="1:20" s="1267" customFormat="1" ht="13.9" thickBot="1">
      <c r="A4" s="3204"/>
      <c r="B4" s="3205"/>
      <c r="C4" s="3206"/>
      <c r="D4" s="1364"/>
      <c r="E4" s="1365"/>
      <c r="F4" s="1366"/>
      <c r="G4" s="1367"/>
      <c r="H4" s="1366"/>
      <c r="I4" s="1367"/>
      <c r="J4" s="1365"/>
      <c r="K4" s="1366"/>
      <c r="L4" s="1367"/>
      <c r="M4" s="1366"/>
      <c r="N4" s="1367"/>
      <c r="O4" s="1365"/>
      <c r="P4" s="1367"/>
      <c r="Q4" s="1263"/>
      <c r="R4" s="1261"/>
      <c r="S4" s="1263"/>
      <c r="T4" s="1261"/>
    </row>
    <row r="5" spans="1:20" s="1262" customFormat="1" ht="15.75" customHeight="1" thickBot="1">
      <c r="A5" s="3207" t="s">
        <v>123</v>
      </c>
      <c r="B5" s="3208"/>
      <c r="C5" s="3209"/>
      <c r="D5" s="1254">
        <f>'Souhrn příjmů a výdajů 2025'!L132</f>
        <v>15000000</v>
      </c>
      <c r="E5" s="1255">
        <f>+D57</f>
        <v>11507043.370000005</v>
      </c>
      <c r="F5" s="1256">
        <f t="shared" ref="F5:N5" si="0">+E57</f>
        <v>5515813.3600000059</v>
      </c>
      <c r="G5" s="1257">
        <f>F57</f>
        <v>2482621.3300000075</v>
      </c>
      <c r="H5" s="1258">
        <f t="shared" si="0"/>
        <v>2777875.2500000047</v>
      </c>
      <c r="I5" s="1257">
        <f t="shared" si="0"/>
        <v>5123429.120000002</v>
      </c>
      <c r="J5" s="1255">
        <f t="shared" si="0"/>
        <v>6767512.9300000053</v>
      </c>
      <c r="K5" s="1256">
        <f t="shared" si="0"/>
        <v>14273215.610000011</v>
      </c>
      <c r="L5" s="1257">
        <f t="shared" si="0"/>
        <v>5005215.5100000119</v>
      </c>
      <c r="M5" s="1258">
        <f t="shared" si="0"/>
        <v>10793261.030000012</v>
      </c>
      <c r="N5" s="1257">
        <f t="shared" si="0"/>
        <v>8404649.3000000156</v>
      </c>
      <c r="O5" s="1255">
        <f>+N57</f>
        <v>1308208.4600000167</v>
      </c>
      <c r="P5" s="1257">
        <f>O57</f>
        <v>14036094.730000012</v>
      </c>
      <c r="Q5" s="1259" t="s">
        <v>777</v>
      </c>
      <c r="R5" s="1260" t="s">
        <v>762</v>
      </c>
      <c r="S5" s="1259" t="s">
        <v>707</v>
      </c>
      <c r="T5" s="1261"/>
    </row>
    <row r="6" spans="1:20" s="1388" customFormat="1" outlineLevel="1">
      <c r="A6" s="3210" t="s">
        <v>474</v>
      </c>
      <c r="B6" s="1383">
        <v>1111</v>
      </c>
      <c r="C6" s="1384" t="s">
        <v>1142</v>
      </c>
      <c r="D6" s="1383">
        <f>RUD!C129</f>
        <v>2543154</v>
      </c>
      <c r="E6" s="3091">
        <f>RUD!D129</f>
        <v>2270599</v>
      </c>
      <c r="F6" s="3096">
        <f>RUD!E129</f>
        <v>2011214</v>
      </c>
      <c r="G6" s="3096">
        <f>RUD!F129</f>
        <v>1942605</v>
      </c>
      <c r="H6" s="3096">
        <f>RUD!G129</f>
        <v>2235422</v>
      </c>
      <c r="I6" s="3096">
        <f>RUD!H129</f>
        <v>2465128</v>
      </c>
      <c r="J6" s="3096">
        <f>RUD!I129</f>
        <v>2678415</v>
      </c>
      <c r="K6" s="3096">
        <f>RUD!J129</f>
        <v>2570639</v>
      </c>
      <c r="L6" s="3096">
        <f>RUD!K129</f>
        <v>2226515</v>
      </c>
      <c r="M6" s="3096">
        <f>RUD!L129</f>
        <v>2390404</v>
      </c>
      <c r="N6" s="3096">
        <f>RUD!M129</f>
        <v>2423078</v>
      </c>
      <c r="O6" s="3087">
        <f>RUD!N129*2</f>
        <v>5803418</v>
      </c>
      <c r="P6" s="1385"/>
      <c r="Q6" s="1266">
        <f t="shared" ref="Q6:Q16" si="1">SUM(D6:P6)</f>
        <v>31560591</v>
      </c>
      <c r="R6" s="1266">
        <f>+'Souhrn příjmů a výdajů 2025'!L7</f>
        <v>27500000</v>
      </c>
      <c r="S6" s="1386">
        <f>+R6-Q6</f>
        <v>-4060591</v>
      </c>
      <c r="T6" s="1387"/>
    </row>
    <row r="7" spans="1:20" s="1388" customFormat="1" outlineLevel="1">
      <c r="A7" s="3211"/>
      <c r="B7" s="1389">
        <v>1112</v>
      </c>
      <c r="C7" s="1390" t="s">
        <v>1239</v>
      </c>
      <c r="D7" s="1391">
        <f>+RUD!C130</f>
        <v>112450</v>
      </c>
      <c r="E7" s="3092">
        <f>+RUD!D130</f>
        <v>91523</v>
      </c>
      <c r="F7" s="3087">
        <f>+RUD!E130</f>
        <v>439998</v>
      </c>
      <c r="G7" s="3087">
        <f>+RUD!F130</f>
        <v>0</v>
      </c>
      <c r="H7" s="3087">
        <f>+RUD!G130</f>
        <v>0</v>
      </c>
      <c r="I7" s="3087">
        <f>+RUD!H130</f>
        <v>0</v>
      </c>
      <c r="J7" s="3087">
        <f>+RUD!I130</f>
        <v>891005</v>
      </c>
      <c r="K7" s="3087">
        <f>+RUD!J130</f>
        <v>0</v>
      </c>
      <c r="L7" s="3087">
        <f>+RUD!K130</f>
        <v>358721</v>
      </c>
      <c r="M7" s="3087">
        <f>+RUD!L130</f>
        <v>163478</v>
      </c>
      <c r="N7" s="3087">
        <f>+RUD!M130</f>
        <v>95996</v>
      </c>
      <c r="O7" s="3087">
        <f>+RUD!N130*2</f>
        <v>1076992</v>
      </c>
      <c r="P7" s="1392"/>
      <c r="Q7" s="1266">
        <f t="shared" si="1"/>
        <v>3230163</v>
      </c>
      <c r="R7" s="1266">
        <f>+'Souhrn příjmů a výdajů 2025'!L8+'Souhrn příjmů a výdajů 2025'!L10</f>
        <v>3900000</v>
      </c>
      <c r="S7" s="1386">
        <f t="shared" ref="S7:S11" si="2">+R7-Q7</f>
        <v>669837</v>
      </c>
      <c r="T7" s="1387"/>
    </row>
    <row r="8" spans="1:20" s="1388" customFormat="1" outlineLevel="1">
      <c r="A8" s="3211"/>
      <c r="B8" s="1389">
        <v>1113</v>
      </c>
      <c r="C8" s="1390" t="s">
        <v>1238</v>
      </c>
      <c r="D8" s="1391">
        <f>+RUD!C131</f>
        <v>405438</v>
      </c>
      <c r="E8" s="3092">
        <f>+RUD!D131</f>
        <v>379551</v>
      </c>
      <c r="F8" s="3087">
        <f>+RUD!E131</f>
        <v>363742</v>
      </c>
      <c r="G8" s="3087">
        <f>+RUD!F131</f>
        <v>397472</v>
      </c>
      <c r="H8" s="3087">
        <f>+RUD!G131</f>
        <v>396501</v>
      </c>
      <c r="I8" s="3087">
        <f>+RUD!H131</f>
        <v>420316</v>
      </c>
      <c r="J8" s="3087">
        <f>+RUD!I131</f>
        <v>631058</v>
      </c>
      <c r="K8" s="3087">
        <f>+RUD!J131</f>
        <v>617965</v>
      </c>
      <c r="L8" s="3087">
        <f>+RUD!K131</f>
        <v>488951</v>
      </c>
      <c r="M8" s="3087">
        <f>+RUD!L131</f>
        <v>452269</v>
      </c>
      <c r="N8" s="3087">
        <f>+RUD!M131</f>
        <v>406492</v>
      </c>
      <c r="O8" s="3087">
        <f>+RUD!N131*2</f>
        <v>807796</v>
      </c>
      <c r="P8" s="1392"/>
      <c r="Q8" s="1266">
        <f t="shared" si="1"/>
        <v>5767551</v>
      </c>
      <c r="R8" s="1266">
        <f>+'Souhrn příjmů a výdajů 2025'!L9</f>
        <v>5460000</v>
      </c>
      <c r="S8" s="1386">
        <f t="shared" si="2"/>
        <v>-307551</v>
      </c>
      <c r="T8" s="1387"/>
    </row>
    <row r="9" spans="1:20" s="1388" customFormat="1" ht="13.5" hidden="1" customHeight="1" outlineLevel="1">
      <c r="A9" s="3211"/>
      <c r="B9" s="1389">
        <v>1112</v>
      </c>
      <c r="C9" s="1390" t="s">
        <v>1145</v>
      </c>
      <c r="D9" s="1391"/>
      <c r="E9" s="3092"/>
      <c r="F9" s="3087"/>
      <c r="G9" s="3087"/>
      <c r="H9" s="3087"/>
      <c r="I9" s="3087"/>
      <c r="J9" s="3087"/>
      <c r="K9" s="3087"/>
      <c r="L9" s="3087"/>
      <c r="M9" s="3087"/>
      <c r="N9" s="3087"/>
      <c r="O9" s="3087"/>
      <c r="P9" s="1392"/>
      <c r="Q9" s="1266">
        <f t="shared" si="1"/>
        <v>0</v>
      </c>
      <c r="R9" s="1266"/>
      <c r="S9" s="1386">
        <f t="shared" si="2"/>
        <v>0</v>
      </c>
      <c r="T9" s="1387"/>
    </row>
    <row r="10" spans="1:20" s="1388" customFormat="1" outlineLevel="1">
      <c r="A10" s="3211"/>
      <c r="B10" s="1389">
        <v>1121</v>
      </c>
      <c r="C10" s="1390" t="s">
        <v>15</v>
      </c>
      <c r="D10" s="1391">
        <f>+RUD!C132</f>
        <v>771560</v>
      </c>
      <c r="E10" s="3092">
        <f>+RUD!D132</f>
        <v>240737</v>
      </c>
      <c r="F10" s="3087">
        <f>+RUD!E132</f>
        <v>4863635</v>
      </c>
      <c r="G10" s="3087">
        <f>+RUD!F132</f>
        <v>2872354</v>
      </c>
      <c r="H10" s="3087">
        <f>+RUD!G132</f>
        <v>972972</v>
      </c>
      <c r="I10" s="3087">
        <f>+RUD!H132</f>
        <v>4814276</v>
      </c>
      <c r="J10" s="3087">
        <f>+RUD!I132</f>
        <v>10244491</v>
      </c>
      <c r="K10" s="3087">
        <f>+RUD!J132</f>
        <v>0</v>
      </c>
      <c r="L10" s="3087">
        <f>+RUD!K132</f>
        <v>5773702</v>
      </c>
      <c r="M10" s="3087">
        <f>+RUD!L132</f>
        <v>2571572</v>
      </c>
      <c r="N10" s="3087">
        <f>+RUD!M132</f>
        <v>228848</v>
      </c>
      <c r="O10" s="3087">
        <f>+RUD!N132*2</f>
        <v>15882878</v>
      </c>
      <c r="P10" s="1392"/>
      <c r="Q10" s="1266">
        <f t="shared" si="1"/>
        <v>49237025</v>
      </c>
      <c r="R10" s="1266">
        <f>+'Souhrn příjmů a výdajů 2025'!L12</f>
        <v>41300000</v>
      </c>
      <c r="S10" s="1386">
        <f t="shared" si="2"/>
        <v>-7937025</v>
      </c>
      <c r="T10" s="1387"/>
    </row>
    <row r="11" spans="1:20" s="1388" customFormat="1" ht="13.5" customHeight="1" outlineLevel="1">
      <c r="A11" s="3211"/>
      <c r="B11" s="1389">
        <v>1211</v>
      </c>
      <c r="C11" s="1390" t="s">
        <v>16</v>
      </c>
      <c r="D11" s="1391">
        <f>+RUD!C133</f>
        <v>6344007</v>
      </c>
      <c r="E11" s="3092">
        <f>+RUD!D133</f>
        <v>7640669</v>
      </c>
      <c r="F11" s="3087">
        <f>+RUD!E133</f>
        <v>4448006</v>
      </c>
      <c r="G11" s="3087">
        <f>+RUD!F133</f>
        <v>5094019</v>
      </c>
      <c r="H11" s="3087">
        <f>+RUD!G133</f>
        <v>7185988</v>
      </c>
      <c r="I11" s="3087">
        <f>+RUD!H133</f>
        <v>5868140</v>
      </c>
      <c r="J11" s="3087">
        <f>+RUD!I133</f>
        <v>6237297</v>
      </c>
      <c r="K11" s="3087">
        <f>+RUD!J133</f>
        <v>7229115</v>
      </c>
      <c r="L11" s="3087">
        <f>+RUD!K133</f>
        <v>5900457</v>
      </c>
      <c r="M11" s="3087">
        <f>+RUD!L133</f>
        <v>5956181</v>
      </c>
      <c r="N11" s="3087">
        <f>+RUD!M133</f>
        <v>8156015</v>
      </c>
      <c r="O11" s="3087">
        <f>+RUD!N133*1.8</f>
        <v>12708277.200000001</v>
      </c>
      <c r="P11" s="1392"/>
      <c r="Q11" s="1266">
        <f t="shared" si="1"/>
        <v>82768171.200000003</v>
      </c>
      <c r="R11" s="1266">
        <f>+'Souhrn příjmů a výdajů 2025'!L13</f>
        <v>77200000</v>
      </c>
      <c r="S11" s="1386">
        <f t="shared" si="2"/>
        <v>-5568171.200000003</v>
      </c>
      <c r="T11" s="1387"/>
    </row>
    <row r="12" spans="1:20" s="1388" customFormat="1" ht="13.5" customHeight="1" outlineLevel="1">
      <c r="A12" s="3211"/>
      <c r="B12" s="1389">
        <v>1511</v>
      </c>
      <c r="C12" s="1390" t="s">
        <v>2875</v>
      </c>
      <c r="D12" s="1391">
        <f>+RUD!C134</f>
        <v>214553</v>
      </c>
      <c r="E12" s="3092">
        <f>+RUD!D134</f>
        <v>97591</v>
      </c>
      <c r="F12" s="3087">
        <f>+RUD!E134</f>
        <v>24440</v>
      </c>
      <c r="G12" s="3087">
        <f>+RUD!F134</f>
        <v>13579</v>
      </c>
      <c r="H12" s="3087">
        <f>+RUD!G134</f>
        <v>0</v>
      </c>
      <c r="I12" s="3087">
        <f>+RUD!H134</f>
        <v>10161556</v>
      </c>
      <c r="J12" s="3087">
        <f>+RUD!I134</f>
        <v>873536</v>
      </c>
      <c r="K12" s="3087">
        <f>+RUD!J134</f>
        <v>89834</v>
      </c>
      <c r="L12" s="3087">
        <f>+RUD!K134</f>
        <v>43212</v>
      </c>
      <c r="M12" s="3087">
        <f>+RUD!L134</f>
        <v>45070</v>
      </c>
      <c r="N12" s="3087">
        <f>+RUD!M134</f>
        <v>28649</v>
      </c>
      <c r="O12" s="3087">
        <f>+RUD!N134</f>
        <v>2595544</v>
      </c>
      <c r="P12" s="1392"/>
      <c r="Q12" s="1266">
        <f t="shared" si="1"/>
        <v>14187564</v>
      </c>
      <c r="R12" s="1266"/>
      <c r="S12" s="1386"/>
      <c r="T12" s="1387"/>
    </row>
    <row r="13" spans="1:20" s="1267" customFormat="1" ht="17.25" customHeight="1" outlineLevel="1">
      <c r="A13" s="3211"/>
      <c r="B13" s="1250" t="s">
        <v>2874</v>
      </c>
      <c r="C13" s="1251" t="s">
        <v>968</v>
      </c>
      <c r="D13" s="1264">
        <f>+CF!B2</f>
        <v>93758</v>
      </c>
      <c r="E13" s="3093">
        <f>+CF!C2</f>
        <v>135262</v>
      </c>
      <c r="F13" s="3088">
        <f>+CF!D2</f>
        <v>1802221</v>
      </c>
      <c r="G13" s="3088">
        <f>+CF!E2</f>
        <v>4834129</v>
      </c>
      <c r="H13" s="3088">
        <f>+CF!F2</f>
        <v>808000.35</v>
      </c>
      <c r="I13" s="3088">
        <f>+CF!G2</f>
        <v>296513.99</v>
      </c>
      <c r="J13" s="3088">
        <f>+CF!H2</f>
        <v>262827.55</v>
      </c>
      <c r="K13" s="3088">
        <f>+CF!I2</f>
        <v>591762.94999999995</v>
      </c>
      <c r="L13" s="3088">
        <f>+CF!J2</f>
        <v>691876.81</v>
      </c>
      <c r="M13" s="3088">
        <f>+CF!K2</f>
        <v>890489.4</v>
      </c>
      <c r="N13" s="3088">
        <f>+CF!L2</f>
        <v>1124442</v>
      </c>
      <c r="O13" s="3088">
        <f>+N13</f>
        <v>1124442</v>
      </c>
      <c r="P13" s="1265"/>
      <c r="Q13" s="1263">
        <f t="shared" si="1"/>
        <v>12655725.050000001</v>
      </c>
      <c r="R13" s="1266">
        <f>'Souhrn příjmů a výdajů 2025'!L6-'Souhrn příjmů a výdajů 2025'!L7-'Souhrn příjmů a výdajů 2025'!L8-'Souhrn příjmů a výdajů 2025'!L9-'Souhrn příjmů a výdajů 2025'!L12-'Souhrn příjmů a výdajů 2025'!L13</f>
        <v>44925900</v>
      </c>
      <c r="S13" s="1263">
        <f>+R13-Q13</f>
        <v>32270174.949999999</v>
      </c>
      <c r="T13" s="1266"/>
    </row>
    <row r="14" spans="1:20" s="1267" customFormat="1" ht="17.25" customHeight="1" outlineLevel="1">
      <c r="A14" s="3211"/>
      <c r="B14" s="1250" t="s">
        <v>1217</v>
      </c>
      <c r="C14" s="1251" t="s">
        <v>224</v>
      </c>
      <c r="D14" s="1268">
        <f>+CF!B3</f>
        <v>3339511.4899999998</v>
      </c>
      <c r="E14" s="3094">
        <f>+CF!C3</f>
        <v>2880620.71</v>
      </c>
      <c r="F14" s="3089">
        <f>+CF!D3</f>
        <v>1640033.15</v>
      </c>
      <c r="G14" s="3089">
        <f>+CF!E3</f>
        <v>3483602.07</v>
      </c>
      <c r="H14" s="3089">
        <f>+CF!F3</f>
        <v>2231858.6</v>
      </c>
      <c r="I14" s="3089">
        <f>+CF!G3</f>
        <v>1702212.08</v>
      </c>
      <c r="J14" s="3089">
        <f>+CF!H3</f>
        <v>3001483.98</v>
      </c>
      <c r="K14" s="3089">
        <f>+CF!I3</f>
        <v>5874469.4700000016</v>
      </c>
      <c r="L14" s="3089">
        <f>+CF!J3</f>
        <v>3216195.39</v>
      </c>
      <c r="M14" s="3089">
        <f>+CF!K3</f>
        <v>2260204.2199999997</v>
      </c>
      <c r="N14" s="3089">
        <f>+CF!L3</f>
        <v>1072304.7300000002</v>
      </c>
      <c r="O14" s="3089">
        <f>+N14</f>
        <v>1072304.7300000002</v>
      </c>
      <c r="P14" s="1265"/>
      <c r="Q14" s="1263">
        <f t="shared" si="1"/>
        <v>31774800.620000001</v>
      </c>
      <c r="R14" s="1266">
        <f>'Souhrn příjmů a výdajů 2025'!L30</f>
        <v>32560500</v>
      </c>
      <c r="S14" s="1263">
        <f t="shared" ref="S14:S55" si="3">+R14-Q14</f>
        <v>785699.37999999896</v>
      </c>
      <c r="T14" s="1261"/>
    </row>
    <row r="15" spans="1:20" s="1267" customFormat="1" ht="12.75" customHeight="1" outlineLevel="1">
      <c r="A15" s="3211"/>
      <c r="B15" s="1269"/>
      <c r="C15" s="1251" t="s">
        <v>2894</v>
      </c>
      <c r="D15" s="1270">
        <f>+CF!B4</f>
        <v>955969.75</v>
      </c>
      <c r="E15" s="3095">
        <f>+CF!C4</f>
        <v>860064.25</v>
      </c>
      <c r="F15" s="3090">
        <f>+CF!D4</f>
        <v>1283838.25</v>
      </c>
      <c r="G15" s="3090">
        <f>+CF!E4</f>
        <v>1841527.75</v>
      </c>
      <c r="H15" s="3090">
        <f>+CF!F4</f>
        <v>841267</v>
      </c>
      <c r="I15" s="3090">
        <f>+CF!G4</f>
        <v>1320464.5</v>
      </c>
      <c r="J15" s="3090">
        <f>+CF!H4</f>
        <v>1636681</v>
      </c>
      <c r="K15" s="3090">
        <f>+CF!I4</f>
        <v>841867</v>
      </c>
      <c r="L15" s="3090">
        <f>+CF!J4</f>
        <v>1870291.5</v>
      </c>
      <c r="M15" s="3090">
        <f>+CF!K4</f>
        <v>1205282.6000000001</v>
      </c>
      <c r="N15" s="3090">
        <f>+CF!L4</f>
        <v>856267</v>
      </c>
      <c r="O15" s="3090">
        <f>+N15</f>
        <v>856267</v>
      </c>
      <c r="P15" s="1265"/>
      <c r="Q15" s="1263">
        <f t="shared" si="1"/>
        <v>14369787.6</v>
      </c>
      <c r="R15" s="1266">
        <f>+'Souhrn příjmů a výdajů 2025'!L102+'Souhrn příjmů a výdajů 2025'!L95+'Souhrn příjmů a výdajů 2025'!L109+'Souhrn příjmů a výdajů 2025'!L110+'Souhrn příjmů a výdajů 2025'!L129</f>
        <v>12888418</v>
      </c>
      <c r="S15" s="1263">
        <f t="shared" si="3"/>
        <v>-1481369.5999999996</v>
      </c>
      <c r="T15" s="1261"/>
    </row>
    <row r="16" spans="1:20" s="1267" customFormat="1" ht="18" customHeight="1" outlineLevel="1" thickBot="1">
      <c r="A16" s="3211"/>
      <c r="B16" s="1299"/>
      <c r="C16" s="1377" t="s">
        <v>227</v>
      </c>
      <c r="D16" s="1378"/>
      <c r="E16" s="1379"/>
      <c r="F16" s="1380"/>
      <c r="G16" s="1381"/>
      <c r="H16" s="1382"/>
      <c r="I16" s="1381"/>
      <c r="J16" s="1379"/>
      <c r="K16" s="1380"/>
      <c r="L16" s="1381"/>
      <c r="M16" s="1382"/>
      <c r="N16" s="1381"/>
      <c r="O16" s="1379"/>
      <c r="P16" s="1381"/>
      <c r="Q16" s="1263">
        <f t="shared" si="1"/>
        <v>0</v>
      </c>
      <c r="R16" s="1266">
        <f>+'Souhrn příjmů a výdajů 2025'!L88</f>
        <v>204478</v>
      </c>
      <c r="S16" s="1263">
        <f t="shared" si="3"/>
        <v>204478</v>
      </c>
      <c r="T16" s="1261"/>
    </row>
    <row r="17" spans="1:20" s="1280" customFormat="1" ht="15" thickBot="1">
      <c r="A17" s="3212"/>
      <c r="B17" s="3192" t="s">
        <v>1236</v>
      </c>
      <c r="C17" s="3193"/>
      <c r="D17" s="1272">
        <f t="shared" ref="D17:P17" si="4">SUM(D6:D16)</f>
        <v>14780401.24</v>
      </c>
      <c r="E17" s="1273">
        <f t="shared" si="4"/>
        <v>14596616.960000001</v>
      </c>
      <c r="F17" s="1274">
        <f t="shared" si="4"/>
        <v>16877127.399999999</v>
      </c>
      <c r="G17" s="1275">
        <f t="shared" si="4"/>
        <v>20479287.82</v>
      </c>
      <c r="H17" s="1276">
        <f t="shared" si="4"/>
        <v>14672008.949999999</v>
      </c>
      <c r="I17" s="1275">
        <f t="shared" si="4"/>
        <v>27048606.57</v>
      </c>
      <c r="J17" s="1273">
        <f t="shared" si="4"/>
        <v>26456794.530000001</v>
      </c>
      <c r="K17" s="1274">
        <f t="shared" si="4"/>
        <v>17815652.420000002</v>
      </c>
      <c r="L17" s="1275">
        <f t="shared" si="4"/>
        <v>20569921.699999999</v>
      </c>
      <c r="M17" s="1276">
        <f t="shared" si="4"/>
        <v>15934950.220000001</v>
      </c>
      <c r="N17" s="1275">
        <f t="shared" si="4"/>
        <v>14392091.73</v>
      </c>
      <c r="O17" s="1273">
        <f t="shared" si="4"/>
        <v>41927918.93</v>
      </c>
      <c r="P17" s="1275">
        <f t="shared" si="4"/>
        <v>0</v>
      </c>
      <c r="Q17" s="1277">
        <f>SUM(Q6:Q15)</f>
        <v>245551378.47</v>
      </c>
      <c r="R17" s="1278">
        <f>SUM(R6:R15)</f>
        <v>245734818</v>
      </c>
      <c r="S17" s="1277">
        <f t="shared" si="3"/>
        <v>183439.53000000119</v>
      </c>
      <c r="T17" s="1279"/>
    </row>
    <row r="18" spans="1:20" s="311" customFormat="1" ht="16.149999999999999" thickBot="1">
      <c r="A18" s="3211"/>
      <c r="B18" s="1281"/>
      <c r="C18" s="1281"/>
      <c r="D18" s="1282"/>
      <c r="E18" s="1282"/>
      <c r="F18" s="1282"/>
      <c r="G18" s="1282"/>
      <c r="H18" s="1282"/>
      <c r="I18" s="1282"/>
      <c r="J18" s="1282"/>
      <c r="K18" s="1282"/>
      <c r="L18" s="1282"/>
      <c r="M18" s="1282"/>
      <c r="N18" s="1282"/>
      <c r="O18" s="1282"/>
      <c r="P18" s="1394"/>
      <c r="Q18" s="1263"/>
      <c r="R18" s="1266"/>
      <c r="S18" s="1263"/>
      <c r="T18" s="1261"/>
    </row>
    <row r="19" spans="1:20" s="1280" customFormat="1" ht="15" thickBot="1">
      <c r="A19" s="3212"/>
      <c r="B19" s="3213" t="s">
        <v>1235</v>
      </c>
      <c r="C19" s="3197"/>
      <c r="D19" s="1283">
        <f>SUM(D20:D25)</f>
        <v>10734460.27</v>
      </c>
      <c r="E19" s="1284">
        <f t="shared" ref="E19:P19" si="5">SUM(E20:E25)</f>
        <v>12907424.619999999</v>
      </c>
      <c r="F19" s="1285">
        <f t="shared" si="5"/>
        <v>14276528.919999998</v>
      </c>
      <c r="G19" s="1286">
        <f t="shared" si="5"/>
        <v>13953169.66</v>
      </c>
      <c r="H19" s="1287">
        <f t="shared" si="5"/>
        <v>10578328.950000001</v>
      </c>
      <c r="I19" s="1286">
        <f t="shared" si="5"/>
        <v>10810228.209999999</v>
      </c>
      <c r="J19" s="1284">
        <f t="shared" si="5"/>
        <v>11880430.629999999</v>
      </c>
      <c r="K19" s="1285">
        <f t="shared" si="5"/>
        <v>25159463.23</v>
      </c>
      <c r="L19" s="1286">
        <f t="shared" si="5"/>
        <v>11200986.15</v>
      </c>
      <c r="M19" s="1287">
        <f t="shared" si="5"/>
        <v>12462228.609999999</v>
      </c>
      <c r="N19" s="1286">
        <f t="shared" si="5"/>
        <v>13790754.369999999</v>
      </c>
      <c r="O19" s="1284">
        <f t="shared" si="5"/>
        <v>17458465.370000001</v>
      </c>
      <c r="P19" s="1286">
        <f t="shared" si="5"/>
        <v>0</v>
      </c>
      <c r="Q19" s="1277">
        <f t="shared" ref="Q19:Q25" si="6">SUM(D19:P19)</f>
        <v>165212468.99000001</v>
      </c>
      <c r="R19" s="1278">
        <f>SUM(R20:R25)</f>
        <v>189540744</v>
      </c>
      <c r="S19" s="1277">
        <f t="shared" si="3"/>
        <v>24328275.00999999</v>
      </c>
      <c r="T19" s="1279"/>
    </row>
    <row r="20" spans="1:20" s="1267" customFormat="1" outlineLevel="1">
      <c r="A20" s="3211"/>
      <c r="B20" s="1288" t="s">
        <v>2877</v>
      </c>
      <c r="C20" s="1252" t="s">
        <v>124</v>
      </c>
      <c r="D20" s="1271">
        <f>+CF!B8</f>
        <v>3091048</v>
      </c>
      <c r="E20" s="1289">
        <f>+CF!C8</f>
        <v>3099073</v>
      </c>
      <c r="F20" s="1290">
        <f>+CF!D8</f>
        <v>3195001</v>
      </c>
      <c r="G20" s="1291">
        <f>+CF!E8</f>
        <v>3309519</v>
      </c>
      <c r="H20" s="1292">
        <f>+CF!F8</f>
        <v>3273050</v>
      </c>
      <c r="I20" s="1291">
        <f>+CF!G8</f>
        <v>4897594</v>
      </c>
      <c r="J20" s="1289">
        <f>+CF!H8</f>
        <v>3555491</v>
      </c>
      <c r="K20" s="1290">
        <f>+CF!I8</f>
        <v>3429860</v>
      </c>
      <c r="L20" s="1291">
        <f>+CF!J8</f>
        <v>3325509</v>
      </c>
      <c r="M20" s="1292">
        <f>+CF!K8</f>
        <v>3532842.36</v>
      </c>
      <c r="N20" s="1293">
        <f>+CF!L8</f>
        <v>3229883</v>
      </c>
      <c r="O20" s="1290">
        <f>+I20</f>
        <v>4897594</v>
      </c>
      <c r="P20" s="1293"/>
      <c r="Q20" s="1263">
        <f t="shared" si="6"/>
        <v>42836464.359999999</v>
      </c>
      <c r="R20" s="1266">
        <f>'Výdaje kapitol celkem'!K16</f>
        <v>49109225</v>
      </c>
      <c r="S20" s="1263">
        <f t="shared" si="3"/>
        <v>6272760.6400000006</v>
      </c>
      <c r="T20" s="1266"/>
    </row>
    <row r="21" spans="1:20" s="1267" customFormat="1" outlineLevel="1">
      <c r="A21" s="3211"/>
      <c r="B21" s="1269" t="s">
        <v>2878</v>
      </c>
      <c r="C21" s="1252" t="s">
        <v>76</v>
      </c>
      <c r="D21" s="1271">
        <f>+CF!B9</f>
        <v>143162.59</v>
      </c>
      <c r="E21" s="1289">
        <f>+CF!C9</f>
        <v>122430.07</v>
      </c>
      <c r="F21" s="1290">
        <f>+CF!D9</f>
        <v>152885.75</v>
      </c>
      <c r="G21" s="1291">
        <f>+CF!E9</f>
        <v>158930.88</v>
      </c>
      <c r="H21" s="1292">
        <f>+CF!F9</f>
        <v>163536.12</v>
      </c>
      <c r="I21" s="1291">
        <f>+CF!G9</f>
        <v>131243.6</v>
      </c>
      <c r="J21" s="1289">
        <f>+CF!H9</f>
        <v>89528.77</v>
      </c>
      <c r="K21" s="1290">
        <f>+CF!I9</f>
        <v>120627.99</v>
      </c>
      <c r="L21" s="1291">
        <f>+CF!J9</f>
        <v>303080.95</v>
      </c>
      <c r="M21" s="1292">
        <f>+CF!K9</f>
        <v>319005.34999999998</v>
      </c>
      <c r="N21" s="1291">
        <f>+CF!L9</f>
        <v>353148.68</v>
      </c>
      <c r="O21" s="1289">
        <v>353148.68</v>
      </c>
      <c r="P21" s="1291"/>
      <c r="Q21" s="1263">
        <f t="shared" si="6"/>
        <v>2410729.4299999997</v>
      </c>
      <c r="R21" s="1266">
        <f>'Souhrn příjmů a výdajů 2025'!L156+'Souhrn příjmů a výdajů 2025'!L157+'Souhrn příjmů a výdajů 2025'!L158+'Souhrn příjmů a výdajů 2025'!L159</f>
        <v>3879000</v>
      </c>
      <c r="S21" s="1263">
        <f t="shared" si="3"/>
        <v>1468270.5700000003</v>
      </c>
      <c r="T21" s="1266"/>
    </row>
    <row r="22" spans="1:20" s="1267" customFormat="1" ht="16.5" customHeight="1" outlineLevel="1">
      <c r="A22" s="3211"/>
      <c r="B22" s="1269" t="s">
        <v>2879</v>
      </c>
      <c r="C22" s="1252" t="s">
        <v>125</v>
      </c>
      <c r="D22" s="1294">
        <f>+CF!B10</f>
        <v>475363.85</v>
      </c>
      <c r="E22" s="1295">
        <f>+CF!C10</f>
        <v>652864.37</v>
      </c>
      <c r="F22" s="1295">
        <f>+CF!D10</f>
        <v>547129.84</v>
      </c>
      <c r="G22" s="1295">
        <f>+CF!E10</f>
        <v>1130820.9800000002</v>
      </c>
      <c r="H22" s="1296">
        <f>+CF!F10</f>
        <v>-1502.3399999999674</v>
      </c>
      <c r="I22" s="1295">
        <f>+CF!G10</f>
        <v>-903330.14</v>
      </c>
      <c r="J22" s="1295">
        <f>+CF!H10</f>
        <v>619954.4</v>
      </c>
      <c r="K22" s="1295">
        <f>+CF!I10</f>
        <v>484737.65</v>
      </c>
      <c r="L22" s="1295">
        <f>+CF!J10</f>
        <v>483495.03</v>
      </c>
      <c r="M22" s="1296">
        <f>+CF!K10</f>
        <v>663508.92999999993</v>
      </c>
      <c r="N22" s="1295">
        <f>+CF!L10</f>
        <v>462344.71</v>
      </c>
      <c r="O22" s="1295">
        <v>462344.71</v>
      </c>
      <c r="P22" s="1295"/>
      <c r="Q22" s="1263">
        <f t="shared" si="6"/>
        <v>5077731.9899999993</v>
      </c>
      <c r="R22" s="1266">
        <f>+'Souhrn příjmů a výdajů 2025'!L160+'Souhrn příjmů a výdajů 2025'!L161+'Souhrn příjmů a výdajů 2025'!L162+'Souhrn příjmů a výdajů 2025'!L163</f>
        <v>6872600</v>
      </c>
      <c r="S22" s="1263">
        <f t="shared" si="3"/>
        <v>1794868.0100000007</v>
      </c>
      <c r="T22" s="1261"/>
    </row>
    <row r="23" spans="1:20" s="1267" customFormat="1" ht="16.5" customHeight="1" outlineLevel="1">
      <c r="A23" s="3211"/>
      <c r="B23" s="1269" t="s">
        <v>2880</v>
      </c>
      <c r="C23" s="1252" t="s">
        <v>758</v>
      </c>
      <c r="D23" s="1294">
        <f>+CF!B11</f>
        <v>2125810.8299999996</v>
      </c>
      <c r="E23" s="1297">
        <f>+CF!C11</f>
        <v>2940107.85</v>
      </c>
      <c r="F23" s="1298">
        <f>+CF!D11</f>
        <v>1745601.13</v>
      </c>
      <c r="G23" s="1295">
        <f>+CF!E11</f>
        <v>3934870.61</v>
      </c>
      <c r="H23" s="1296">
        <f>+CF!F11</f>
        <v>2069143.27</v>
      </c>
      <c r="I23" s="1296">
        <f>+CF!G11</f>
        <v>1517218.2400000002</v>
      </c>
      <c r="J23" s="1296">
        <f>+CF!H11</f>
        <v>2618822.4699999993</v>
      </c>
      <c r="K23" s="1296">
        <f>+CF!I11</f>
        <v>16046411.59</v>
      </c>
      <c r="L23" s="1296">
        <f>+CF!J11</f>
        <v>1921541.17</v>
      </c>
      <c r="M23" s="1296">
        <f>+CF!K11</f>
        <v>2909687.9699999997</v>
      </c>
      <c r="N23" s="1295">
        <f>+CF!L11</f>
        <v>4763941.9799999995</v>
      </c>
      <c r="O23" s="1297">
        <v>5763941.9800000004</v>
      </c>
      <c r="P23" s="1295"/>
      <c r="Q23" s="1263">
        <f t="shared" si="6"/>
        <v>48357099.089999989</v>
      </c>
      <c r="R23" s="1266">
        <f>+'Souhrn příjmů a výdajů 2025'!L164+'Souhrn příjmů a výdajů 2025'!L165+'Souhrn příjmů a výdajů 2025'!L166+'Souhrn příjmů a výdajů 2025'!L167+'Souhrn příjmů a výdajů 2025'!L168+'Souhrn příjmů a výdajů 2025'!L169+'Souhrn příjmů a výdajů 2025'!L170+'Souhrn příjmů a výdajů 2025'!L171+'Souhrn příjmů a výdajů 2025'!L172+'Souhrn příjmů a výdajů 2025'!L173+'Souhrn příjmů a výdajů 2025'!L174+'Souhrn příjmů a výdajů 2025'!L175</f>
        <v>56107734</v>
      </c>
      <c r="S23" s="1263">
        <f t="shared" si="3"/>
        <v>7750634.9100000113</v>
      </c>
      <c r="T23" s="1261"/>
    </row>
    <row r="24" spans="1:20" s="1267" customFormat="1" outlineLevel="1">
      <c r="A24" s="3211"/>
      <c r="B24" s="1269" t="s">
        <v>2881</v>
      </c>
      <c r="C24" s="1252" t="s">
        <v>967</v>
      </c>
      <c r="D24" s="1294">
        <f>+CF!B12</f>
        <v>4843283</v>
      </c>
      <c r="E24" s="1297">
        <f>+CF!C12</f>
        <v>4843283</v>
      </c>
      <c r="F24" s="1298">
        <f>+CF!D12</f>
        <v>8277602</v>
      </c>
      <c r="G24" s="1295">
        <f>+CF!E12</f>
        <v>4943283</v>
      </c>
      <c r="H24" s="1296">
        <f>+CF!F12</f>
        <v>4843283</v>
      </c>
      <c r="I24" s="1295">
        <f>+CF!G12</f>
        <v>4843283</v>
      </c>
      <c r="J24" s="1297">
        <f>+CF!H12</f>
        <v>4923283</v>
      </c>
      <c r="K24" s="1298">
        <f>+CF!I12</f>
        <v>4843283</v>
      </c>
      <c r="L24" s="1295">
        <f>+CF!J12</f>
        <v>4843283</v>
      </c>
      <c r="M24" s="1296">
        <f>+CF!K12</f>
        <v>4943283</v>
      </c>
      <c r="N24" s="1295">
        <f>+CF!L12</f>
        <v>4843283</v>
      </c>
      <c r="O24" s="1297">
        <v>5843283</v>
      </c>
      <c r="P24" s="1295"/>
      <c r="Q24" s="1263">
        <f t="shared" si="6"/>
        <v>62833715</v>
      </c>
      <c r="R24" s="1266">
        <f>+'Souhrn příjmů a výdajů 2025'!L181+'Souhrn příjmů a výdajů 2025'!L182+'Souhrn příjmů a výdajů 2025'!L187+'Souhrn příjmů a výdajů 2025'!L188</f>
        <v>65831131</v>
      </c>
      <c r="S24" s="1263">
        <f t="shared" si="3"/>
        <v>2997416</v>
      </c>
      <c r="T24" s="1261"/>
    </row>
    <row r="25" spans="1:20" s="1267" customFormat="1" ht="13.5" outlineLevel="1" thickBot="1">
      <c r="A25" s="3211"/>
      <c r="B25" s="1299" t="s">
        <v>2882</v>
      </c>
      <c r="C25" s="1253" t="s">
        <v>126</v>
      </c>
      <c r="D25" s="1300">
        <f>+CF!B13</f>
        <v>55792</v>
      </c>
      <c r="E25" s="1301">
        <f>+CF!C13</f>
        <v>1249666.33</v>
      </c>
      <c r="F25" s="1301">
        <f>+CF!D13</f>
        <v>358309.2</v>
      </c>
      <c r="G25" s="1302">
        <f>+CF!E13</f>
        <v>475745.19</v>
      </c>
      <c r="H25" s="1303">
        <f>+CF!F13</f>
        <v>230818.9</v>
      </c>
      <c r="I25" s="1302">
        <f>+CF!G13</f>
        <v>324219.51</v>
      </c>
      <c r="J25" s="1301">
        <f>+CF!H13</f>
        <v>73350.990000000005</v>
      </c>
      <c r="K25" s="1304">
        <f>+CF!I13</f>
        <v>234543</v>
      </c>
      <c r="L25" s="1302">
        <f>+CF!J13</f>
        <v>324077</v>
      </c>
      <c r="M25" s="1303">
        <f>+CF!K13</f>
        <v>93901</v>
      </c>
      <c r="N25" s="1302">
        <f>+CF!L13</f>
        <v>138153</v>
      </c>
      <c r="O25" s="1301">
        <v>138153</v>
      </c>
      <c r="P25" s="1302"/>
      <c r="Q25" s="1263">
        <f t="shared" si="6"/>
        <v>3696729.12</v>
      </c>
      <c r="R25" s="1266">
        <f>+'Souhrn příjmů a výdajů 2025'!L178+'Souhrn příjmů a výdajů 2025'!L179+'Souhrn příjmů a výdajů 2025'!L183+'Souhrn příjmů a výdajů 2025'!L184+'Souhrn příjmů a výdajů 2025'!L185+'Souhrn příjmů a výdajů 2025'!L186+'Souhrn příjmů a výdajů 2025'!L189</f>
        <v>7741054</v>
      </c>
      <c r="S25" s="1263">
        <f t="shared" si="3"/>
        <v>4044324.88</v>
      </c>
      <c r="T25" s="1261"/>
    </row>
    <row r="26" spans="1:20" s="1267" customFormat="1" ht="13.5" thickBot="1">
      <c r="A26" s="3211"/>
      <c r="B26" s="1305"/>
      <c r="C26" s="1306"/>
      <c r="D26" s="1307"/>
      <c r="E26" s="1307"/>
      <c r="F26" s="1307"/>
      <c r="G26" s="1307"/>
      <c r="H26" s="1307"/>
      <c r="I26" s="1307"/>
      <c r="J26" s="1307"/>
      <c r="K26" s="1307"/>
      <c r="L26" s="1307"/>
      <c r="M26" s="1307"/>
      <c r="N26" s="1307"/>
      <c r="O26" s="1307"/>
      <c r="P26" s="1395"/>
      <c r="Q26" s="1263"/>
      <c r="R26" s="1266"/>
      <c r="S26" s="1263"/>
      <c r="T26" s="1261"/>
    </row>
    <row r="27" spans="1:20" s="1308" customFormat="1" ht="15" thickBot="1">
      <c r="A27" s="3212"/>
      <c r="B27" s="3192" t="s">
        <v>1234</v>
      </c>
      <c r="C27" s="3197"/>
      <c r="D27" s="1283">
        <f t="shared" ref="D27:P27" si="7">D5+D17-D19-D16</f>
        <v>19045940.970000003</v>
      </c>
      <c r="E27" s="1284">
        <f t="shared" si="7"/>
        <v>13196235.710000006</v>
      </c>
      <c r="F27" s="1285">
        <f t="shared" si="7"/>
        <v>8116411.8400000073</v>
      </c>
      <c r="G27" s="1286">
        <f t="shared" si="7"/>
        <v>9008739.4900000058</v>
      </c>
      <c r="H27" s="1287">
        <f t="shared" si="7"/>
        <v>6871555.2500000019</v>
      </c>
      <c r="I27" s="1286">
        <f t="shared" si="7"/>
        <v>21361807.480000004</v>
      </c>
      <c r="J27" s="1284">
        <f t="shared" si="7"/>
        <v>21343876.830000009</v>
      </c>
      <c r="K27" s="1285">
        <f t="shared" si="7"/>
        <v>6929404.8000000119</v>
      </c>
      <c r="L27" s="1286">
        <f t="shared" si="7"/>
        <v>14374151.060000012</v>
      </c>
      <c r="M27" s="1287">
        <f t="shared" si="7"/>
        <v>14265982.640000015</v>
      </c>
      <c r="N27" s="1286">
        <f t="shared" si="7"/>
        <v>9005986.6600000169</v>
      </c>
      <c r="O27" s="1284">
        <f t="shared" si="7"/>
        <v>25777662.020000014</v>
      </c>
      <c r="P27" s="1286">
        <f t="shared" si="7"/>
        <v>14036094.730000012</v>
      </c>
      <c r="Q27" s="1277"/>
      <c r="R27" s="1278"/>
      <c r="S27" s="1277"/>
      <c r="T27" s="1279"/>
    </row>
    <row r="28" spans="1:20" s="1267" customFormat="1">
      <c r="A28" s="3211"/>
      <c r="B28" s="1288">
        <v>5141</v>
      </c>
      <c r="C28" s="1252" t="s">
        <v>7</v>
      </c>
      <c r="D28" s="1294">
        <f>+CF!B14</f>
        <v>139772.15</v>
      </c>
      <c r="E28" s="1297">
        <f>+CF!C14</f>
        <v>118957.41</v>
      </c>
      <c r="F28" s="1298">
        <f>+CF!D14</f>
        <v>246206.64</v>
      </c>
      <c r="G28" s="1295">
        <f>+CF!E14</f>
        <v>152459.29999999999</v>
      </c>
      <c r="H28" s="1296">
        <f>+CF!F14</f>
        <v>176782.26</v>
      </c>
      <c r="I28" s="1295">
        <f>+CF!G14</f>
        <v>256266.66</v>
      </c>
      <c r="J28" s="1297">
        <f>+CF!H14</f>
        <v>153372.76999999999</v>
      </c>
      <c r="K28" s="1298">
        <f>+CF!I14</f>
        <v>160098.59</v>
      </c>
      <c r="L28" s="1295">
        <f>+CF!J14</f>
        <v>272526.15999999997</v>
      </c>
      <c r="M28" s="1296">
        <f>+CF!K14</f>
        <v>167284.07</v>
      </c>
      <c r="N28" s="1295">
        <f>+CF!L14</f>
        <v>161336.42000000001</v>
      </c>
      <c r="O28" s="1297">
        <v>161336.42000000001</v>
      </c>
      <c r="P28" s="1295"/>
      <c r="Q28" s="1263">
        <f>SUM(D28:P28)</f>
        <v>2166398.85</v>
      </c>
      <c r="R28" s="1266">
        <f>+'Výdaje kapitol celkem'!L55</f>
        <v>2586000.016443999</v>
      </c>
      <c r="S28" s="1263">
        <f t="shared" si="3"/>
        <v>419601.16644399893</v>
      </c>
      <c r="T28" s="1261"/>
    </row>
    <row r="29" spans="1:20" s="1267" customFormat="1">
      <c r="A29" s="3211"/>
      <c r="B29" s="1269">
        <v>6351</v>
      </c>
      <c r="C29" s="1309" t="s">
        <v>295</v>
      </c>
      <c r="D29" s="1310">
        <f>+CF!B17</f>
        <v>2638690</v>
      </c>
      <c r="E29" s="1311">
        <f>+CF!C17</f>
        <v>1854840</v>
      </c>
      <c r="F29" s="1312">
        <f>+CF!D17</f>
        <v>354840</v>
      </c>
      <c r="G29" s="1313">
        <f>+CF!E17</f>
        <v>354840</v>
      </c>
      <c r="H29" s="1314">
        <f>+CF!F17</f>
        <v>354840</v>
      </c>
      <c r="I29" s="1313">
        <f>+CF!G17</f>
        <v>354840</v>
      </c>
      <c r="J29" s="1311">
        <f>+CF!H17</f>
        <v>354840</v>
      </c>
      <c r="K29" s="1312">
        <f>+CF!I17</f>
        <v>354840</v>
      </c>
      <c r="L29" s="1313">
        <f>+CF!J17</f>
        <v>354840</v>
      </c>
      <c r="M29" s="1314">
        <f>+CF!K17</f>
        <v>4278688.4000000004</v>
      </c>
      <c r="N29" s="1313">
        <f>+CF!L17</f>
        <v>354840</v>
      </c>
      <c r="O29" s="1311">
        <v>2000000</v>
      </c>
      <c r="P29" s="1313"/>
      <c r="Q29" s="1263">
        <f>SUM(D29:P29)</f>
        <v>13610938.4</v>
      </c>
      <c r="R29" s="1266">
        <f>'Výdaje kapitol celkem'!K69</f>
        <v>8558080</v>
      </c>
      <c r="S29" s="1263">
        <f t="shared" si="3"/>
        <v>-5052858.4000000004</v>
      </c>
      <c r="T29" s="1261"/>
    </row>
    <row r="30" spans="1:20" s="1267" customFormat="1">
      <c r="A30" s="3211"/>
      <c r="B30" s="1269">
        <v>6349</v>
      </c>
      <c r="C30" s="1252" t="s">
        <v>112</v>
      </c>
      <c r="D30" s="1294">
        <f>+CF!B16</f>
        <v>0</v>
      </c>
      <c r="E30" s="1297">
        <f>+CF!C16</f>
        <v>5101890.91</v>
      </c>
      <c r="F30" s="1298">
        <f>+CF!D16</f>
        <v>0</v>
      </c>
      <c r="G30" s="1295">
        <f>+CF!E16</f>
        <v>11658851.970000001</v>
      </c>
      <c r="H30" s="1296">
        <f>+CF!F16</f>
        <v>8831500.3599999994</v>
      </c>
      <c r="I30" s="1295">
        <f>+CF!G16</f>
        <v>0</v>
      </c>
      <c r="J30" s="1297">
        <f>+CF!H16</f>
        <v>5799314.5899999999</v>
      </c>
      <c r="K30" s="1298">
        <f>+CF!I16</f>
        <v>168445.92</v>
      </c>
      <c r="L30" s="1295">
        <f>+CF!J16</f>
        <v>1857501.92</v>
      </c>
      <c r="M30" s="1296">
        <f>+CF!K16</f>
        <v>0</v>
      </c>
      <c r="N30" s="1295">
        <f>+CF!L16</f>
        <v>0</v>
      </c>
      <c r="O30" s="1297"/>
      <c r="P30" s="1295"/>
      <c r="Q30" s="1263">
        <f>SUM(D30:P30)</f>
        <v>33417505.670000002</v>
      </c>
      <c r="R30" s="1266"/>
      <c r="S30" s="1263">
        <f t="shared" si="3"/>
        <v>-33417505.670000002</v>
      </c>
      <c r="T30" s="1261"/>
    </row>
    <row r="31" spans="1:20" s="1308" customFormat="1" ht="15" thickBot="1">
      <c r="A31" s="3212"/>
      <c r="B31" s="3192" t="s">
        <v>1233</v>
      </c>
      <c r="C31" s="3193"/>
      <c r="D31" s="1272">
        <f>D27-D28-D30-D29+D16</f>
        <v>16267478.820000004</v>
      </c>
      <c r="E31" s="1273">
        <f t="shared" ref="E31:P31" si="8">E27-E28-E30-E29+E16</f>
        <v>6120547.3900000062</v>
      </c>
      <c r="F31" s="1274">
        <f t="shared" si="8"/>
        <v>7515365.2000000076</v>
      </c>
      <c r="G31" s="1275">
        <f t="shared" si="8"/>
        <v>-3157411.7799999956</v>
      </c>
      <c r="H31" s="1276">
        <f t="shared" si="8"/>
        <v>-2491567.3699999973</v>
      </c>
      <c r="I31" s="1275">
        <f t="shared" si="8"/>
        <v>20750700.820000004</v>
      </c>
      <c r="J31" s="1273">
        <f t="shared" si="8"/>
        <v>15036349.47000001</v>
      </c>
      <c r="K31" s="1274">
        <f t="shared" si="8"/>
        <v>6246020.2900000121</v>
      </c>
      <c r="L31" s="1275">
        <f t="shared" si="8"/>
        <v>11889282.980000012</v>
      </c>
      <c r="M31" s="1276">
        <f t="shared" si="8"/>
        <v>9820010.1700000148</v>
      </c>
      <c r="N31" s="1275">
        <f t="shared" si="8"/>
        <v>8489810.240000017</v>
      </c>
      <c r="O31" s="1273">
        <f t="shared" si="8"/>
        <v>23616325.600000013</v>
      </c>
      <c r="P31" s="1275">
        <f t="shared" si="8"/>
        <v>14036094.730000012</v>
      </c>
      <c r="Q31" s="1277"/>
      <c r="R31" s="1278">
        <f>+R29/12</f>
        <v>713173.33333333337</v>
      </c>
      <c r="S31" s="1277"/>
      <c r="T31" s="1279"/>
    </row>
    <row r="32" spans="1:20" s="1267" customFormat="1" ht="15.75" customHeight="1" thickBot="1">
      <c r="A32" s="1315"/>
      <c r="B32" s="1306"/>
      <c r="C32" s="1306"/>
      <c r="D32" s="1307"/>
      <c r="E32" s="1307"/>
      <c r="F32" s="1307"/>
      <c r="G32" s="1307"/>
      <c r="H32" s="1307"/>
      <c r="I32" s="1307"/>
      <c r="J32" s="1307"/>
      <c r="K32" s="1307"/>
      <c r="L32" s="1307"/>
      <c r="M32" s="1307"/>
      <c r="N32" s="1307"/>
      <c r="O32" s="1307"/>
      <c r="P32" s="1395"/>
      <c r="Q32" s="1263"/>
      <c r="R32" s="1266"/>
      <c r="S32" s="1263"/>
      <c r="T32" s="1261"/>
    </row>
    <row r="33" spans="1:20" s="1322" customFormat="1" ht="15" thickBot="1">
      <c r="A33" s="3198"/>
      <c r="B33" s="3190" t="s">
        <v>1474</v>
      </c>
      <c r="C33" s="3191"/>
      <c r="D33" s="1316">
        <f>+CF!B15</f>
        <v>2458918.58</v>
      </c>
      <c r="E33" s="1317">
        <f>+CF!C15</f>
        <v>0</v>
      </c>
      <c r="F33" s="1318">
        <f>+CF!D15</f>
        <v>4549398</v>
      </c>
      <c r="G33" s="1319">
        <f>+CF!E15</f>
        <v>16940</v>
      </c>
      <c r="H33" s="1320">
        <f>+CF!F15</f>
        <v>733158</v>
      </c>
      <c r="I33" s="1320">
        <f>+CF!G15</f>
        <v>2019435.97</v>
      </c>
      <c r="J33" s="1320">
        <f>+CF!H15</f>
        <v>353279.51</v>
      </c>
      <c r="K33" s="1320">
        <f>+CF!I15</f>
        <v>925904.83</v>
      </c>
      <c r="L33" s="1320">
        <f>+CF!J15</f>
        <v>2470178</v>
      </c>
      <c r="M33" s="1320">
        <f>+CF!K15</f>
        <v>365975</v>
      </c>
      <c r="N33" s="1319">
        <f>+CF!L15</f>
        <v>6698255.9100000001</v>
      </c>
      <c r="O33" s="1317">
        <v>8530845</v>
      </c>
      <c r="P33" s="1319"/>
      <c r="Q33" s="1277">
        <f>'Výdaje kapitol celkem'!K61+'Výdaje kapitol celkem'!K62+'Výdaje kapitol celkem'!K63+'Výdaje kapitol celkem'!K64+'Výdaje kapitol celkem'!K65+'Výdaje kapitol celkem'!K67+'Výdaje kapitol celkem'!K68</f>
        <v>97056000</v>
      </c>
      <c r="R33" s="1277"/>
      <c r="S33" s="1277"/>
      <c r="T33" s="1321"/>
    </row>
    <row r="34" spans="1:20" s="1331" customFormat="1" ht="13.5" hidden="1" customHeight="1" outlineLevel="1">
      <c r="A34" s="3199"/>
      <c r="B34" s="1323"/>
      <c r="C34" s="1324" t="s">
        <v>357</v>
      </c>
      <c r="D34" s="1325"/>
      <c r="E34" s="1326"/>
      <c r="F34" s="1327"/>
      <c r="G34" s="1328"/>
      <c r="H34" s="1329"/>
      <c r="I34" s="1330"/>
      <c r="J34" s="1326"/>
      <c r="K34" s="1327"/>
      <c r="L34" s="1330"/>
      <c r="M34" s="1329"/>
      <c r="N34" s="1330"/>
      <c r="O34" s="1326"/>
      <c r="P34" s="1330"/>
      <c r="Q34" s="1263">
        <f t="shared" ref="Q34:Q51" si="9">SUM(D34:P34)</f>
        <v>0</v>
      </c>
      <c r="R34" s="1266">
        <f>'Výdaje kapitol celkem'!T72</f>
        <v>4462000</v>
      </c>
      <c r="S34" s="1263">
        <f t="shared" si="3"/>
        <v>4462000</v>
      </c>
      <c r="T34" s="1261"/>
    </row>
    <row r="35" spans="1:20" s="1331" customFormat="1" hidden="1" outlineLevel="1">
      <c r="A35" s="3199"/>
      <c r="B35" s="1323"/>
      <c r="C35" s="1324" t="s">
        <v>138</v>
      </c>
      <c r="D35" s="1325"/>
      <c r="E35" s="1326"/>
      <c r="F35" s="1327"/>
      <c r="G35" s="1332"/>
      <c r="H35" s="1329"/>
      <c r="I35" s="1330"/>
      <c r="J35" s="1326"/>
      <c r="K35" s="1327"/>
      <c r="L35" s="1330"/>
      <c r="M35" s="1329"/>
      <c r="N35" s="1330"/>
      <c r="O35" s="1326"/>
      <c r="P35" s="1330"/>
      <c r="Q35" s="1263">
        <f t="shared" si="9"/>
        <v>0</v>
      </c>
      <c r="R35" s="1266">
        <f>'Výdaje kapitol celkem'!AI72</f>
        <v>2105000</v>
      </c>
      <c r="S35" s="1263">
        <f t="shared" si="3"/>
        <v>2105000</v>
      </c>
      <c r="T35" s="1261"/>
    </row>
    <row r="36" spans="1:20" s="1331" customFormat="1" hidden="1" outlineLevel="1">
      <c r="A36" s="3199"/>
      <c r="B36" s="1323"/>
      <c r="C36" s="1324" t="s">
        <v>140</v>
      </c>
      <c r="D36" s="1325"/>
      <c r="E36" s="1326"/>
      <c r="F36" s="1327"/>
      <c r="G36" s="1332"/>
      <c r="H36" s="1329"/>
      <c r="I36" s="1330"/>
      <c r="J36" s="1326"/>
      <c r="K36" s="1327"/>
      <c r="L36" s="1330"/>
      <c r="M36" s="1329"/>
      <c r="N36" s="1330"/>
      <c r="O36" s="1326"/>
      <c r="P36" s="1330"/>
      <c r="Q36" s="1263">
        <f t="shared" si="9"/>
        <v>0</v>
      </c>
      <c r="R36" s="1266">
        <f>'Výdaje kapitol celkem'!AO72</f>
        <v>9890000</v>
      </c>
      <c r="S36" s="1263">
        <f t="shared" si="3"/>
        <v>9890000</v>
      </c>
      <c r="T36" s="1261"/>
    </row>
    <row r="37" spans="1:20" s="1331" customFormat="1" hidden="1" outlineLevel="1">
      <c r="A37" s="3199"/>
      <c r="B37" s="1323"/>
      <c r="C37" s="1324" t="s">
        <v>1240</v>
      </c>
      <c r="D37" s="1325"/>
      <c r="E37" s="1326"/>
      <c r="F37" s="1327"/>
      <c r="G37" s="1332"/>
      <c r="H37" s="1329"/>
      <c r="I37" s="1330"/>
      <c r="J37" s="1326"/>
      <c r="K37" s="1327"/>
      <c r="L37" s="1330"/>
      <c r="M37" s="1329"/>
      <c r="N37" s="1330"/>
      <c r="O37" s="1326"/>
      <c r="P37" s="1330"/>
      <c r="Q37" s="1263">
        <f t="shared" si="9"/>
        <v>0</v>
      </c>
      <c r="R37" s="1266">
        <f>'Výdaje kapitol celkem'!AD72</f>
        <v>0</v>
      </c>
      <c r="S37" s="1263">
        <f t="shared" si="3"/>
        <v>0</v>
      </c>
      <c r="T37" s="1261"/>
    </row>
    <row r="38" spans="1:20" s="1331" customFormat="1" hidden="1" outlineLevel="1">
      <c r="A38" s="3199"/>
      <c r="B38" s="1323"/>
      <c r="C38" s="1324" t="s">
        <v>139</v>
      </c>
      <c r="D38" s="1325"/>
      <c r="E38" s="1326"/>
      <c r="F38" s="1327"/>
      <c r="G38" s="1330"/>
      <c r="H38" s="1329"/>
      <c r="I38" s="1330"/>
      <c r="J38" s="1326"/>
      <c r="K38" s="1327"/>
      <c r="L38" s="1330"/>
      <c r="M38" s="1329"/>
      <c r="N38" s="1330"/>
      <c r="O38" s="1326"/>
      <c r="P38" s="1330"/>
      <c r="Q38" s="1263">
        <f t="shared" si="9"/>
        <v>0</v>
      </c>
      <c r="R38" s="1266">
        <f>'Výdaje kapitol celkem'!AL72</f>
        <v>0</v>
      </c>
      <c r="S38" s="1263">
        <f t="shared" si="3"/>
        <v>0</v>
      </c>
      <c r="T38" s="1261"/>
    </row>
    <row r="39" spans="1:20" s="1331" customFormat="1" hidden="1" outlineLevel="1">
      <c r="A39" s="3199"/>
      <c r="B39" s="1323"/>
      <c r="C39" s="1324" t="s">
        <v>141</v>
      </c>
      <c r="D39" s="1325"/>
      <c r="E39" s="1326"/>
      <c r="F39" s="1327"/>
      <c r="G39" s="1330"/>
      <c r="H39" s="1329"/>
      <c r="I39" s="1330"/>
      <c r="J39" s="1326"/>
      <c r="K39" s="1327"/>
      <c r="L39" s="1330"/>
      <c r="M39" s="1329"/>
      <c r="N39" s="1330"/>
      <c r="O39" s="1326"/>
      <c r="P39" s="1330"/>
      <c r="Q39" s="1263">
        <f t="shared" si="9"/>
        <v>0</v>
      </c>
      <c r="R39" s="1266">
        <f>'Výdaje kapitol celkem'!AR72</f>
        <v>45000</v>
      </c>
      <c r="S39" s="1263">
        <f t="shared" si="3"/>
        <v>45000</v>
      </c>
      <c r="T39" s="1261"/>
    </row>
    <row r="40" spans="1:20" s="1331" customFormat="1" hidden="1" outlineLevel="1">
      <c r="A40" s="3199"/>
      <c r="B40" s="1323"/>
      <c r="C40" s="1324" t="s">
        <v>1218</v>
      </c>
      <c r="D40" s="1325"/>
      <c r="E40" s="1326"/>
      <c r="F40" s="1327"/>
      <c r="G40" s="1330"/>
      <c r="H40" s="1329"/>
      <c r="I40" s="1330"/>
      <c r="J40" s="1326"/>
      <c r="K40" s="1327"/>
      <c r="L40" s="1330"/>
      <c r="M40" s="1329"/>
      <c r="N40" s="1330"/>
      <c r="O40" s="1326"/>
      <c r="P40" s="1330"/>
      <c r="Q40" s="1263">
        <f t="shared" si="9"/>
        <v>0</v>
      </c>
      <c r="R40" s="1266">
        <f>'Výdaje kapitol celkem'!P61+'Výdaje kapitol celkem'!P62+'Výdaje kapitol celkem'!P63+'Výdaje kapitol celkem'!P64+'Výdaje kapitol celkem'!P65+'Výdaje kapitol celkem'!P66+'Výdaje kapitol celkem'!P67+'Výdaje kapitol celkem'!P68+'Výdaje kapitol celkem'!P69</f>
        <v>6366000</v>
      </c>
      <c r="S40" s="1263">
        <f t="shared" si="3"/>
        <v>6366000</v>
      </c>
      <c r="T40" s="1261"/>
    </row>
    <row r="41" spans="1:20" s="1331" customFormat="1" hidden="1" outlineLevel="1">
      <c r="A41" s="3199"/>
      <c r="B41" s="1323"/>
      <c r="C41" s="1324" t="s">
        <v>1219</v>
      </c>
      <c r="D41" s="1325"/>
      <c r="E41" s="1326"/>
      <c r="F41" s="1327"/>
      <c r="G41" s="1330"/>
      <c r="H41" s="1329"/>
      <c r="I41" s="1330"/>
      <c r="J41" s="1326"/>
      <c r="K41" s="1327"/>
      <c r="L41" s="1330"/>
      <c r="M41" s="1329"/>
      <c r="N41" s="1330"/>
      <c r="O41" s="1326"/>
      <c r="P41" s="1330"/>
      <c r="Q41" s="1263">
        <f t="shared" si="9"/>
        <v>0</v>
      </c>
      <c r="R41" s="1266">
        <f>'Výdaje kapitol celkem'!DN72</f>
        <v>100000</v>
      </c>
      <c r="S41" s="1263">
        <f t="shared" si="3"/>
        <v>100000</v>
      </c>
      <c r="T41" s="1261"/>
    </row>
    <row r="42" spans="1:20" s="1331" customFormat="1" hidden="1" outlineLevel="1">
      <c r="A42" s="3199"/>
      <c r="B42" s="1323"/>
      <c r="C42" s="1324" t="s">
        <v>294</v>
      </c>
      <c r="D42" s="1325"/>
      <c r="E42" s="1326"/>
      <c r="F42" s="1327"/>
      <c r="G42" s="1330"/>
      <c r="H42" s="1329"/>
      <c r="I42" s="1330"/>
      <c r="J42" s="1326"/>
      <c r="K42" s="1327"/>
      <c r="L42" s="1330"/>
      <c r="M42" s="1329"/>
      <c r="N42" s="1330"/>
      <c r="O42" s="1326"/>
      <c r="P42" s="1330"/>
      <c r="Q42" s="1263">
        <f t="shared" si="9"/>
        <v>0</v>
      </c>
      <c r="R42" s="1266">
        <f>'Výdaje kapitol celkem'!AX72</f>
        <v>370000</v>
      </c>
      <c r="S42" s="1263">
        <f t="shared" si="3"/>
        <v>370000</v>
      </c>
      <c r="T42" s="1261"/>
    </row>
    <row r="43" spans="1:20" s="1331" customFormat="1" hidden="1" outlineLevel="1">
      <c r="A43" s="3199"/>
      <c r="B43" s="1323"/>
      <c r="C43" s="1324" t="s">
        <v>1171</v>
      </c>
      <c r="D43" s="1325"/>
      <c r="E43" s="1326"/>
      <c r="F43" s="1327"/>
      <c r="G43" s="1330"/>
      <c r="H43" s="1329"/>
      <c r="I43" s="1330"/>
      <c r="J43" s="1326"/>
      <c r="K43" s="1327"/>
      <c r="L43" s="1330"/>
      <c r="M43" s="1329"/>
      <c r="N43" s="1330"/>
      <c r="O43" s="1326"/>
      <c r="P43" s="1330"/>
      <c r="Q43" s="1263">
        <f t="shared" si="9"/>
        <v>0</v>
      </c>
      <c r="R43" s="1266">
        <f>'Výdaje kapitol celkem'!BA72</f>
        <v>0</v>
      </c>
      <c r="S43" s="1263">
        <f t="shared" si="3"/>
        <v>0</v>
      </c>
      <c r="T43" s="1261"/>
    </row>
    <row r="44" spans="1:20" s="1331" customFormat="1" hidden="1" outlineLevel="1">
      <c r="A44" s="3199"/>
      <c r="B44" s="1323"/>
      <c r="C44" s="1324" t="s">
        <v>145</v>
      </c>
      <c r="D44" s="1325"/>
      <c r="E44" s="1326"/>
      <c r="F44" s="1327"/>
      <c r="G44" s="1330"/>
      <c r="H44" s="1329"/>
      <c r="I44" s="1330"/>
      <c r="J44" s="1326"/>
      <c r="K44" s="1327"/>
      <c r="L44" s="1330"/>
      <c r="M44" s="1329"/>
      <c r="N44" s="1330"/>
      <c r="O44" s="1326"/>
      <c r="P44" s="1330"/>
      <c r="Q44" s="1263">
        <f t="shared" si="9"/>
        <v>0</v>
      </c>
      <c r="R44" s="1266">
        <f>'Výdaje kapitol celkem'!BG72</f>
        <v>5761000</v>
      </c>
      <c r="S44" s="1263">
        <f t="shared" si="3"/>
        <v>5761000</v>
      </c>
      <c r="T44" s="1261"/>
    </row>
    <row r="45" spans="1:20" s="1331" customFormat="1" hidden="1" outlineLevel="1">
      <c r="A45" s="3199"/>
      <c r="B45" s="1323"/>
      <c r="C45" s="1324" t="s">
        <v>937</v>
      </c>
      <c r="D45" s="1325"/>
      <c r="E45" s="1326"/>
      <c r="F45" s="1327"/>
      <c r="G45" s="1330"/>
      <c r="H45" s="1329"/>
      <c r="I45" s="1330"/>
      <c r="J45" s="1326"/>
      <c r="K45" s="1327"/>
      <c r="L45" s="1330"/>
      <c r="M45" s="1329"/>
      <c r="N45" s="1330"/>
      <c r="O45" s="1326"/>
      <c r="P45" s="1330"/>
      <c r="Q45" s="1263">
        <f t="shared" si="9"/>
        <v>0</v>
      </c>
      <c r="R45" s="1266">
        <f>'Výdaje kapitol celkem'!CC72</f>
        <v>42020000</v>
      </c>
      <c r="S45" s="1263">
        <f t="shared" si="3"/>
        <v>42020000</v>
      </c>
      <c r="T45" s="1261"/>
    </row>
    <row r="46" spans="1:20" s="1331" customFormat="1" hidden="1" outlineLevel="1">
      <c r="A46" s="3199"/>
      <c r="B46" s="1323"/>
      <c r="C46" s="1324" t="s">
        <v>153</v>
      </c>
      <c r="D46" s="1325"/>
      <c r="E46" s="1326"/>
      <c r="F46" s="1327"/>
      <c r="G46" s="1330"/>
      <c r="H46" s="1329"/>
      <c r="I46" s="1330"/>
      <c r="J46" s="1326"/>
      <c r="K46" s="1327"/>
      <c r="L46" s="1330"/>
      <c r="M46" s="1329"/>
      <c r="N46" s="1330"/>
      <c r="O46" s="1326"/>
      <c r="P46" s="1330"/>
      <c r="Q46" s="1263">
        <f t="shared" si="9"/>
        <v>0</v>
      </c>
      <c r="R46" s="1266">
        <f>'Výdaje kapitol celkem'!CJ72</f>
        <v>790000</v>
      </c>
      <c r="S46" s="1263">
        <f t="shared" si="3"/>
        <v>790000</v>
      </c>
      <c r="T46" s="1261"/>
    </row>
    <row r="47" spans="1:20" s="1331" customFormat="1" hidden="1" outlineLevel="1">
      <c r="A47" s="3199"/>
      <c r="B47" s="1323"/>
      <c r="C47" s="1324" t="s">
        <v>1220</v>
      </c>
      <c r="D47" s="1325"/>
      <c r="E47" s="1326"/>
      <c r="F47" s="1327"/>
      <c r="G47" s="1330"/>
      <c r="H47" s="1329"/>
      <c r="I47" s="1330"/>
      <c r="J47" s="1326"/>
      <c r="K47" s="1327"/>
      <c r="L47" s="1330"/>
      <c r="M47" s="1329"/>
      <c r="N47" s="1330"/>
      <c r="O47" s="1326"/>
      <c r="P47" s="1330"/>
      <c r="Q47" s="1263">
        <f t="shared" si="9"/>
        <v>0</v>
      </c>
      <c r="R47" s="1266">
        <f>'Výdaje kapitol celkem'!CZ72</f>
        <v>0</v>
      </c>
      <c r="S47" s="1263">
        <f t="shared" si="3"/>
        <v>0</v>
      </c>
      <c r="T47" s="1261"/>
    </row>
    <row r="48" spans="1:20" s="1331" customFormat="1" hidden="1" outlineLevel="1">
      <c r="A48" s="3199"/>
      <c r="B48" s="1323"/>
      <c r="C48" s="1324" t="s">
        <v>155</v>
      </c>
      <c r="D48" s="1325"/>
      <c r="E48" s="1326"/>
      <c r="F48" s="1327"/>
      <c r="G48" s="1330"/>
      <c r="H48" s="1329"/>
      <c r="I48" s="1330"/>
      <c r="J48" s="1326"/>
      <c r="K48" s="1327"/>
      <c r="L48" s="1330"/>
      <c r="M48" s="1329"/>
      <c r="N48" s="1330"/>
      <c r="O48" s="1326"/>
      <c r="P48" s="1330"/>
      <c r="Q48" s="1263">
        <f t="shared" si="9"/>
        <v>0</v>
      </c>
      <c r="R48" s="1266">
        <f>'Výdaje kapitol celkem'!CT72</f>
        <v>22800000</v>
      </c>
      <c r="S48" s="1263">
        <f t="shared" si="3"/>
        <v>22800000</v>
      </c>
      <c r="T48" s="1261"/>
    </row>
    <row r="49" spans="1:20" s="1331" customFormat="1" hidden="1" outlineLevel="1">
      <c r="A49" s="3199"/>
      <c r="B49" s="1323"/>
      <c r="C49" s="1324" t="s">
        <v>154</v>
      </c>
      <c r="D49" s="1325"/>
      <c r="E49" s="1326"/>
      <c r="F49" s="1327"/>
      <c r="G49" s="1330"/>
      <c r="H49" s="1329"/>
      <c r="I49" s="1330"/>
      <c r="J49" s="1326"/>
      <c r="K49" s="1327"/>
      <c r="L49" s="1330"/>
      <c r="M49" s="1329"/>
      <c r="N49" s="1330"/>
      <c r="O49" s="1326"/>
      <c r="P49" s="1330"/>
      <c r="Q49" s="1263">
        <f t="shared" si="9"/>
        <v>0</v>
      </c>
      <c r="R49" s="1266">
        <f>'Výdaje kapitol celkem'!CN72</f>
        <v>0</v>
      </c>
      <c r="S49" s="1263">
        <f t="shared" si="3"/>
        <v>0</v>
      </c>
      <c r="T49" s="1261"/>
    </row>
    <row r="50" spans="1:20" s="1331" customFormat="1" hidden="1" outlineLevel="1">
      <c r="A50" s="3199"/>
      <c r="B50" s="1323"/>
      <c r="C50" s="1333" t="s">
        <v>1221</v>
      </c>
      <c r="D50" s="1334"/>
      <c r="E50" s="1335"/>
      <c r="F50" s="1336"/>
      <c r="G50" s="1337"/>
      <c r="H50" s="1338"/>
      <c r="I50" s="1337"/>
      <c r="J50" s="1335"/>
      <c r="K50" s="1336"/>
      <c r="L50" s="1337"/>
      <c r="M50" s="1338"/>
      <c r="N50" s="1337"/>
      <c r="O50" s="1335"/>
      <c r="P50" s="1337"/>
      <c r="Q50" s="1263">
        <f t="shared" si="9"/>
        <v>0</v>
      </c>
      <c r="R50" s="1266">
        <f>'Výdaje kapitol celkem'!CF72</f>
        <v>290000</v>
      </c>
      <c r="S50" s="1263">
        <f t="shared" si="3"/>
        <v>290000</v>
      </c>
      <c r="T50" s="1261"/>
    </row>
    <row r="51" spans="1:20" s="1331" customFormat="1" ht="13.5" hidden="1" outlineLevel="1" thickBot="1">
      <c r="A51" s="3199"/>
      <c r="B51" s="1339"/>
      <c r="C51" s="1324" t="s">
        <v>152</v>
      </c>
      <c r="D51" s="1325"/>
      <c r="E51" s="1326"/>
      <c r="F51" s="1327"/>
      <c r="G51" s="1330"/>
      <c r="H51" s="1329"/>
      <c r="I51" s="1330"/>
      <c r="J51" s="1326"/>
      <c r="K51" s="1327"/>
      <c r="L51" s="1330"/>
      <c r="M51" s="1329"/>
      <c r="N51" s="1330"/>
      <c r="O51" s="1326"/>
      <c r="P51" s="1330"/>
      <c r="Q51" s="1263">
        <f t="shared" si="9"/>
        <v>0</v>
      </c>
      <c r="R51" s="1266">
        <f>'Výdaje kapitol celkem'!CG72</f>
        <v>102000</v>
      </c>
      <c r="S51" s="1263">
        <f>+R51-Q51</f>
        <v>102000</v>
      </c>
      <c r="T51" s="1261"/>
    </row>
    <row r="52" spans="1:20" s="1262" customFormat="1" ht="15" collapsed="1" thickBot="1">
      <c r="A52" s="3200"/>
      <c r="B52" s="3192" t="s">
        <v>1230</v>
      </c>
      <c r="C52" s="3193"/>
      <c r="D52" s="1272">
        <f t="shared" ref="D52:O52" si="10">D31-D33</f>
        <v>13808560.240000004</v>
      </c>
      <c r="E52" s="1273">
        <f t="shared" si="10"/>
        <v>6120547.3900000062</v>
      </c>
      <c r="F52" s="1274">
        <f t="shared" si="10"/>
        <v>2965967.2000000076</v>
      </c>
      <c r="G52" s="1275">
        <f t="shared" si="10"/>
        <v>-3174351.7799999956</v>
      </c>
      <c r="H52" s="1276">
        <f t="shared" si="10"/>
        <v>-3224725.3699999973</v>
      </c>
      <c r="I52" s="1275">
        <f t="shared" si="10"/>
        <v>18731264.850000005</v>
      </c>
      <c r="J52" s="1273">
        <f t="shared" si="10"/>
        <v>14683069.96000001</v>
      </c>
      <c r="K52" s="1274">
        <f t="shared" si="10"/>
        <v>5320115.4600000121</v>
      </c>
      <c r="L52" s="1275">
        <f t="shared" si="10"/>
        <v>9419104.9800000116</v>
      </c>
      <c r="M52" s="1276">
        <f t="shared" si="10"/>
        <v>9454035.1700000148</v>
      </c>
      <c r="N52" s="1275">
        <f t="shared" si="10"/>
        <v>1791554.3300000168</v>
      </c>
      <c r="O52" s="1273">
        <f t="shared" si="10"/>
        <v>15085480.600000013</v>
      </c>
      <c r="P52" s="1275">
        <f t="shared" ref="P52" si="11">P31-P33</f>
        <v>14036094.730000012</v>
      </c>
      <c r="Q52" s="1263"/>
      <c r="R52" s="1266"/>
      <c r="S52" s="1263"/>
      <c r="T52" s="1261"/>
    </row>
    <row r="53" spans="1:20" s="1267" customFormat="1">
      <c r="A53" s="3194"/>
      <c r="B53" s="1323">
        <v>8124</v>
      </c>
      <c r="C53" s="1340" t="s">
        <v>116</v>
      </c>
      <c r="D53" s="1294">
        <f>+CF!B18</f>
        <v>2301516.87</v>
      </c>
      <c r="E53" s="1297">
        <f>+CF!C18</f>
        <v>5706624.9400000004</v>
      </c>
      <c r="F53" s="1298">
        <f>+CF!D18</f>
        <v>483345.87</v>
      </c>
      <c r="G53" s="1295">
        <f>+CF!E18</f>
        <v>5706624.9400000004</v>
      </c>
      <c r="H53" s="1296">
        <f>+CF!F18</f>
        <v>483345.87</v>
      </c>
      <c r="I53" s="1295">
        <f>+CF!G18</f>
        <v>11963751.92</v>
      </c>
      <c r="J53" s="1297">
        <f>+CF!H18</f>
        <v>6209168.9400000004</v>
      </c>
      <c r="K53" s="1298">
        <f>+CF!I18</f>
        <v>483345.87</v>
      </c>
      <c r="L53" s="1295">
        <f>+CF!J18</f>
        <v>483345.87</v>
      </c>
      <c r="M53" s="1296">
        <f>+CF!K18</f>
        <v>1049385.8700000001</v>
      </c>
      <c r="N53" s="1295">
        <f>+CF!L18</f>
        <v>483345.87</v>
      </c>
      <c r="O53" s="1297">
        <f>+M53</f>
        <v>1049385.8700000001</v>
      </c>
      <c r="P53" s="1295"/>
      <c r="Q53" s="1263">
        <f>SUM(D53:P53)</f>
        <v>36403188.699999996</v>
      </c>
      <c r="R53" s="1266">
        <f>'Souhrn příjmů a výdajů 2025'!L210</f>
        <v>9950674</v>
      </c>
      <c r="S53" s="1263">
        <f>+R53-Q53</f>
        <v>-26452514.699999996</v>
      </c>
      <c r="T53" s="1261"/>
    </row>
    <row r="54" spans="1:20" s="1348" customFormat="1">
      <c r="A54" s="3195"/>
      <c r="B54" s="1341">
        <v>8124</v>
      </c>
      <c r="C54" s="1342" t="s">
        <v>472</v>
      </c>
      <c r="D54" s="1343">
        <f>-CF!B5</f>
        <v>0</v>
      </c>
      <c r="E54" s="1344">
        <f>-CF!C5</f>
        <v>-5101890.91</v>
      </c>
      <c r="F54" s="1345">
        <f>-CF!D5</f>
        <v>0</v>
      </c>
      <c r="G54" s="1346">
        <f>-CF!E5</f>
        <v>-11658851.970000001</v>
      </c>
      <c r="H54" s="1347">
        <f>-CF!F5</f>
        <v>-8831500.3599999994</v>
      </c>
      <c r="I54" s="1346">
        <f>-CF!G5</f>
        <v>0</v>
      </c>
      <c r="J54" s="1344">
        <f>-CF!H5</f>
        <v>-5799314.5899999999</v>
      </c>
      <c r="K54" s="1345">
        <f>-CF!I5</f>
        <v>-168445.92</v>
      </c>
      <c r="L54" s="1346">
        <f>-CF!J5</f>
        <v>-1857501.92</v>
      </c>
      <c r="M54" s="1347">
        <f>-CF!K5</f>
        <v>0</v>
      </c>
      <c r="N54" s="1346">
        <f>-CF!L5</f>
        <v>0</v>
      </c>
      <c r="O54" s="1344"/>
      <c r="P54" s="1346"/>
      <c r="Q54" s="1263">
        <f>SUM(D54:P54)</f>
        <v>-33417505.670000002</v>
      </c>
      <c r="R54" s="1266"/>
      <c r="S54" s="1266">
        <f>+R54-Q54</f>
        <v>33417505.670000002</v>
      </c>
      <c r="T54" s="1261"/>
    </row>
    <row r="55" spans="1:20" s="1267" customFormat="1" ht="13.5" thickBot="1">
      <c r="A55" s="3195"/>
      <c r="B55" s="1339">
        <v>8115</v>
      </c>
      <c r="C55" s="1349" t="s">
        <v>473</v>
      </c>
      <c r="D55" s="1300"/>
      <c r="E55" s="1301"/>
      <c r="F55" s="1304"/>
      <c r="G55" s="1302"/>
      <c r="H55" s="1303"/>
      <c r="I55" s="1302"/>
      <c r="J55" s="1301"/>
      <c r="K55" s="1304"/>
      <c r="L55" s="1302"/>
      <c r="M55" s="1303"/>
      <c r="N55" s="1302"/>
      <c r="O55" s="1301"/>
      <c r="P55" s="1302"/>
      <c r="Q55" s="1263">
        <f>SUM(D55:P55)</f>
        <v>0</v>
      </c>
      <c r="R55" s="1266"/>
      <c r="S55" s="1263">
        <f t="shared" si="3"/>
        <v>0</v>
      </c>
      <c r="T55" s="1261"/>
    </row>
    <row r="56" spans="1:20" s="1267" customFormat="1" ht="15" thickBot="1">
      <c r="A56" s="3196"/>
      <c r="B56" s="3192" t="s">
        <v>1231</v>
      </c>
      <c r="C56" s="3197"/>
      <c r="D56" s="1283">
        <f>+D53+D54+D55</f>
        <v>2301516.87</v>
      </c>
      <c r="E56" s="1284">
        <f t="shared" ref="E56:F56" si="12">+E53+E54+E55</f>
        <v>604734.03000000026</v>
      </c>
      <c r="F56" s="1285">
        <f t="shared" si="12"/>
        <v>483345.87</v>
      </c>
      <c r="G56" s="1286">
        <f>+G53+G54+G55</f>
        <v>-5952227.0300000003</v>
      </c>
      <c r="H56" s="1287">
        <f>+H53+H54+H55</f>
        <v>-8348154.4899999993</v>
      </c>
      <c r="I56" s="1286">
        <f t="shared" ref="I56:K56" si="13">+I53+I54+I55</f>
        <v>11963751.92</v>
      </c>
      <c r="J56" s="1284">
        <f t="shared" si="13"/>
        <v>409854.35000000056</v>
      </c>
      <c r="K56" s="1285">
        <f t="shared" si="13"/>
        <v>314899.94999999995</v>
      </c>
      <c r="L56" s="1286">
        <f>+L53+L54+L55</f>
        <v>-1374156.0499999998</v>
      </c>
      <c r="M56" s="1287">
        <f>+M53+M54+M55</f>
        <v>1049385.8700000001</v>
      </c>
      <c r="N56" s="1286">
        <f t="shared" ref="N56:O56" si="14">+N53+N54+N55</f>
        <v>483345.87</v>
      </c>
      <c r="O56" s="1284">
        <f t="shared" si="14"/>
        <v>1049385.8700000001</v>
      </c>
      <c r="P56" s="1286">
        <f>+P53+P54+P55</f>
        <v>0</v>
      </c>
      <c r="Q56" s="1266"/>
      <c r="R56" s="1266"/>
      <c r="S56" s="1263"/>
      <c r="T56" s="1261"/>
    </row>
    <row r="57" spans="1:20" s="1262" customFormat="1" ht="15.75" customHeight="1" thickBot="1">
      <c r="A57" s="1350"/>
      <c r="B57" s="3188" t="s">
        <v>1232</v>
      </c>
      <c r="C57" s="3189"/>
      <c r="D57" s="1351">
        <f>D52-D56</f>
        <v>11507043.370000005</v>
      </c>
      <c r="E57" s="1352">
        <f t="shared" ref="E57:P57" si="15">E52-E56</f>
        <v>5515813.3600000059</v>
      </c>
      <c r="F57" s="1353">
        <f t="shared" si="15"/>
        <v>2482621.3300000075</v>
      </c>
      <c r="G57" s="1354">
        <f t="shared" si="15"/>
        <v>2777875.2500000047</v>
      </c>
      <c r="H57" s="1355">
        <f t="shared" si="15"/>
        <v>5123429.120000002</v>
      </c>
      <c r="I57" s="1354">
        <f t="shared" si="15"/>
        <v>6767512.9300000053</v>
      </c>
      <c r="J57" s="1352">
        <f t="shared" si="15"/>
        <v>14273215.610000011</v>
      </c>
      <c r="K57" s="1353">
        <f t="shared" si="15"/>
        <v>5005215.5100000119</v>
      </c>
      <c r="L57" s="1354">
        <f>L52-L56</f>
        <v>10793261.030000012</v>
      </c>
      <c r="M57" s="1355">
        <f t="shared" si="15"/>
        <v>8404649.3000000156</v>
      </c>
      <c r="N57" s="1354">
        <f t="shared" si="15"/>
        <v>1308208.4600000167</v>
      </c>
      <c r="O57" s="1352">
        <f t="shared" si="15"/>
        <v>14036094.730000012</v>
      </c>
      <c r="P57" s="1354">
        <f t="shared" si="15"/>
        <v>14036094.730000012</v>
      </c>
      <c r="Q57" s="1263"/>
      <c r="R57" s="1266"/>
      <c r="S57" s="1263"/>
      <c r="T57" s="1261"/>
    </row>
    <row r="58" spans="1:20" s="1331" customFormat="1" ht="13.5" thickBot="1">
      <c r="A58" s="1356"/>
      <c r="B58" s="1357" t="s">
        <v>759</v>
      </c>
      <c r="C58" s="1358"/>
      <c r="D58" s="1359">
        <v>5000000</v>
      </c>
      <c r="E58" s="1360">
        <v>5000000</v>
      </c>
      <c r="F58" s="1360">
        <v>5000000</v>
      </c>
      <c r="G58" s="1360">
        <v>5000000</v>
      </c>
      <c r="H58" s="1360">
        <v>5000000</v>
      </c>
      <c r="I58" s="1361">
        <v>5000000</v>
      </c>
      <c r="J58" s="1360">
        <v>5000000</v>
      </c>
      <c r="K58" s="1360">
        <v>5000000</v>
      </c>
      <c r="L58" s="1360">
        <v>5000000</v>
      </c>
      <c r="M58" s="1360">
        <v>5000000</v>
      </c>
      <c r="N58" s="1361">
        <v>5000000</v>
      </c>
      <c r="O58" s="1360">
        <v>5000000</v>
      </c>
      <c r="P58" s="1362">
        <v>5000000</v>
      </c>
      <c r="Q58" s="1263"/>
      <c r="R58" s="1266"/>
      <c r="S58" s="1263"/>
      <c r="T58" s="1261"/>
    </row>
    <row r="59" spans="1:20" s="1262" customFormat="1" ht="15.75" customHeight="1" thickBot="1">
      <c r="A59" s="1363"/>
      <c r="B59" s="3188" t="s">
        <v>1237</v>
      </c>
      <c r="C59" s="3189"/>
      <c r="D59" s="1351">
        <f t="shared" ref="D59:P59" si="16">+D57+D58</f>
        <v>16507043.370000005</v>
      </c>
      <c r="E59" s="1352">
        <f t="shared" si="16"/>
        <v>10515813.360000007</v>
      </c>
      <c r="F59" s="1353">
        <f t="shared" si="16"/>
        <v>7482621.3300000075</v>
      </c>
      <c r="G59" s="1354">
        <f t="shared" si="16"/>
        <v>7777875.2500000047</v>
      </c>
      <c r="H59" s="1355">
        <f t="shared" si="16"/>
        <v>10123429.120000001</v>
      </c>
      <c r="I59" s="1354">
        <f t="shared" si="16"/>
        <v>11767512.930000005</v>
      </c>
      <c r="J59" s="1352">
        <f t="shared" si="16"/>
        <v>19273215.610000011</v>
      </c>
      <c r="K59" s="1353">
        <f t="shared" si="16"/>
        <v>10005215.510000013</v>
      </c>
      <c r="L59" s="1354">
        <f t="shared" si="16"/>
        <v>15793261.030000012</v>
      </c>
      <c r="M59" s="1355">
        <f t="shared" si="16"/>
        <v>13404649.300000016</v>
      </c>
      <c r="N59" s="1354">
        <f t="shared" si="16"/>
        <v>6308208.4600000167</v>
      </c>
      <c r="O59" s="1352">
        <f t="shared" si="16"/>
        <v>19036094.730000012</v>
      </c>
      <c r="P59" s="1354">
        <f t="shared" si="16"/>
        <v>19036094.730000012</v>
      </c>
      <c r="Q59" s="1263"/>
      <c r="R59" s="1266"/>
      <c r="S59" s="1263"/>
      <c r="T59" s="1261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sheetProtection algorithmName="SHA-512" hashValue="rHviU7bUosXSQ6QkAB1zew4PLScfNpVQ1Nr9eNc2AUMRldfPG6Y4TdhReMPei2hhDoeAKfMgJwSHmT2MduBfVA==" saltValue="JgAsi2uVM2CXijCQnsBK7Q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1034</v>
      </c>
      <c r="E2" s="642" t="s">
        <v>1035</v>
      </c>
      <c r="F2" s="642" t="s">
        <v>1036</v>
      </c>
      <c r="G2" s="642" t="s">
        <v>1037</v>
      </c>
      <c r="H2" s="642" t="s">
        <v>1038</v>
      </c>
      <c r="I2" s="642" t="s">
        <v>1039</v>
      </c>
      <c r="J2" s="642" t="s">
        <v>1040</v>
      </c>
      <c r="K2" s="642" t="s">
        <v>1041</v>
      </c>
      <c r="L2" s="642" t="s">
        <v>1042</v>
      </c>
      <c r="M2" s="642" t="s">
        <v>1043</v>
      </c>
      <c r="N2" s="642" t="s">
        <v>1044</v>
      </c>
      <c r="O2" s="643" t="s">
        <v>1045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858</v>
      </c>
    </row>
    <row r="3" spans="1:29">
      <c r="A3" s="3214" t="s">
        <v>1046</v>
      </c>
      <c r="B3" s="3216" t="s">
        <v>1047</v>
      </c>
      <c r="C3" s="645" t="s">
        <v>1048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215"/>
      <c r="B4" s="3217"/>
      <c r="C4" s="649" t="s">
        <v>1049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215"/>
      <c r="B5" s="3217"/>
      <c r="C5" s="649" t="s">
        <v>1050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215"/>
      <c r="B6" s="3217"/>
      <c r="C6" s="649" t="s">
        <v>1051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215"/>
      <c r="B7" s="3218"/>
      <c r="C7" s="657" t="s">
        <v>1052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219" t="s">
        <v>1053</v>
      </c>
      <c r="B8" s="3221" t="s">
        <v>959</v>
      </c>
      <c r="C8" s="661" t="s">
        <v>1048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224">
        <f>SUM(P15,P10)</f>
        <v>195272</v>
      </c>
    </row>
    <row r="9" spans="1:29">
      <c r="A9" s="3220"/>
      <c r="B9" s="3222"/>
      <c r="C9" s="664" t="s">
        <v>1049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225"/>
    </row>
    <row r="10" spans="1:29">
      <c r="A10" s="3220"/>
      <c r="B10" s="3222"/>
      <c r="C10" s="664" t="s">
        <v>1050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225"/>
    </row>
    <row r="11" spans="1:29">
      <c r="A11" s="3220"/>
      <c r="B11" s="3222"/>
      <c r="C11" s="664" t="s">
        <v>1051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225"/>
    </row>
    <row r="12" spans="1:29" ht="12" thickBot="1">
      <c r="A12" s="3220"/>
      <c r="B12" s="3223"/>
      <c r="C12" s="670" t="s">
        <v>1052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225"/>
    </row>
    <row r="13" spans="1:29">
      <c r="A13" s="3220"/>
      <c r="B13" s="3227" t="s">
        <v>1054</v>
      </c>
      <c r="C13" s="674" t="s">
        <v>1048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225"/>
    </row>
    <row r="14" spans="1:29">
      <c r="A14" s="3220"/>
      <c r="B14" s="3228"/>
      <c r="C14" s="664" t="s">
        <v>1049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225"/>
    </row>
    <row r="15" spans="1:29">
      <c r="A15" s="3220"/>
      <c r="B15" s="3228"/>
      <c r="C15" s="664" t="s">
        <v>1050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225"/>
    </row>
    <row r="16" spans="1:29" ht="15" customHeight="1">
      <c r="A16" s="3220"/>
      <c r="B16" s="3228"/>
      <c r="C16" s="664" t="s">
        <v>1051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225"/>
    </row>
    <row r="17" spans="1:29" ht="12" thickBot="1">
      <c r="A17" s="3220"/>
      <c r="B17" s="3228"/>
      <c r="C17" s="664" t="s">
        <v>1052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226"/>
    </row>
    <row r="18" spans="1:29" ht="12" thickBot="1">
      <c r="A18" s="678" t="s">
        <v>1055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229" t="s">
        <v>1046</v>
      </c>
      <c r="B19" s="3231" t="s">
        <v>1056</v>
      </c>
      <c r="C19" s="684" t="s">
        <v>1048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229"/>
      <c r="B20" s="3231"/>
      <c r="C20" s="684" t="s">
        <v>1049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229"/>
      <c r="B21" s="3231"/>
      <c r="C21" s="684" t="s">
        <v>1050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229"/>
      <c r="B22" s="3231"/>
      <c r="C22" s="684" t="s">
        <v>1051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230"/>
      <c r="B23" s="3231"/>
      <c r="C23" s="684" t="s">
        <v>1052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232" t="s">
        <v>1053</v>
      </c>
      <c r="B24" s="3235" t="s">
        <v>1057</v>
      </c>
      <c r="C24" s="695" t="s">
        <v>1048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238" t="s">
        <v>1058</v>
      </c>
      <c r="R24" s="3239"/>
      <c r="S24" s="3239"/>
      <c r="T24" s="3239"/>
      <c r="U24" s="3239"/>
      <c r="V24" s="3239"/>
      <c r="W24" s="3239"/>
      <c r="X24" s="3239"/>
      <c r="Y24" s="3239"/>
      <c r="Z24" s="3239"/>
      <c r="AA24" s="3239"/>
      <c r="AB24" s="3240"/>
    </row>
    <row r="25" spans="1:29">
      <c r="A25" s="3233"/>
      <c r="B25" s="3236"/>
      <c r="C25" s="698" t="s">
        <v>1049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241"/>
      <c r="R25" s="3242"/>
      <c r="S25" s="3242"/>
      <c r="T25" s="3242"/>
      <c r="U25" s="3242"/>
      <c r="V25" s="3242"/>
      <c r="W25" s="3242"/>
      <c r="X25" s="3242"/>
      <c r="Y25" s="3242"/>
      <c r="Z25" s="3242"/>
      <c r="AA25" s="3242"/>
      <c r="AB25" s="3243"/>
    </row>
    <row r="26" spans="1:29">
      <c r="A26" s="3233"/>
      <c r="B26" s="3236"/>
      <c r="C26" s="698" t="s">
        <v>1050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241"/>
      <c r="R26" s="3242"/>
      <c r="S26" s="3242"/>
      <c r="T26" s="3242"/>
      <c r="U26" s="3242"/>
      <c r="V26" s="3242"/>
      <c r="W26" s="3242"/>
      <c r="X26" s="3242"/>
      <c r="Y26" s="3242"/>
      <c r="Z26" s="3242"/>
      <c r="AA26" s="3242"/>
      <c r="AB26" s="3243"/>
    </row>
    <row r="27" spans="1:29">
      <c r="A27" s="3233"/>
      <c r="B27" s="3236"/>
      <c r="C27" s="698" t="s">
        <v>1051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241"/>
      <c r="R27" s="3242"/>
      <c r="S27" s="3242"/>
      <c r="T27" s="3242"/>
      <c r="U27" s="3242"/>
      <c r="V27" s="3242"/>
      <c r="W27" s="3242"/>
      <c r="X27" s="3242"/>
      <c r="Y27" s="3242"/>
      <c r="Z27" s="3242"/>
      <c r="AA27" s="3242"/>
      <c r="AB27" s="3243"/>
    </row>
    <row r="28" spans="1:29">
      <c r="A28" s="3233"/>
      <c r="B28" s="3237"/>
      <c r="C28" s="704" t="s">
        <v>1052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241"/>
      <c r="R28" s="3242"/>
      <c r="S28" s="3242"/>
      <c r="T28" s="3242"/>
      <c r="U28" s="3242"/>
      <c r="V28" s="3242"/>
      <c r="W28" s="3242"/>
      <c r="X28" s="3242"/>
      <c r="Y28" s="3242"/>
      <c r="Z28" s="3242"/>
      <c r="AA28" s="3242"/>
      <c r="AB28" s="3243"/>
    </row>
    <row r="29" spans="1:29">
      <c r="A29" s="3233"/>
      <c r="B29" s="3247" t="s">
        <v>1059</v>
      </c>
      <c r="C29" s="707" t="s">
        <v>1048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241"/>
      <c r="R29" s="3242"/>
      <c r="S29" s="3242"/>
      <c r="T29" s="3242"/>
      <c r="U29" s="3242"/>
      <c r="V29" s="3242"/>
      <c r="W29" s="3242"/>
      <c r="X29" s="3242"/>
      <c r="Y29" s="3242"/>
      <c r="Z29" s="3242"/>
      <c r="AA29" s="3242"/>
      <c r="AB29" s="3243"/>
    </row>
    <row r="30" spans="1:29">
      <c r="A30" s="3233"/>
      <c r="B30" s="3236"/>
      <c r="C30" s="698" t="s">
        <v>1049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241"/>
      <c r="R30" s="3242"/>
      <c r="S30" s="3242"/>
      <c r="T30" s="3242"/>
      <c r="U30" s="3242"/>
      <c r="V30" s="3242"/>
      <c r="W30" s="3242"/>
      <c r="X30" s="3242"/>
      <c r="Y30" s="3242"/>
      <c r="Z30" s="3242"/>
      <c r="AA30" s="3242"/>
      <c r="AB30" s="3243"/>
    </row>
    <row r="31" spans="1:29">
      <c r="A31" s="3233"/>
      <c r="B31" s="3236"/>
      <c r="C31" s="698" t="s">
        <v>1050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241"/>
      <c r="R31" s="3242"/>
      <c r="S31" s="3242"/>
      <c r="T31" s="3242"/>
      <c r="U31" s="3242"/>
      <c r="V31" s="3242"/>
      <c r="W31" s="3242"/>
      <c r="X31" s="3242"/>
      <c r="Y31" s="3242"/>
      <c r="Z31" s="3242"/>
      <c r="AA31" s="3242"/>
      <c r="AB31" s="3243"/>
    </row>
    <row r="32" spans="1:29">
      <c r="A32" s="3233"/>
      <c r="B32" s="3236"/>
      <c r="C32" s="698" t="s">
        <v>1051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241"/>
      <c r="R32" s="3242"/>
      <c r="S32" s="3242"/>
      <c r="T32" s="3242"/>
      <c r="U32" s="3242"/>
      <c r="V32" s="3242"/>
      <c r="W32" s="3242"/>
      <c r="X32" s="3242"/>
      <c r="Y32" s="3242"/>
      <c r="Z32" s="3242"/>
      <c r="AA32" s="3242"/>
      <c r="AB32" s="3243"/>
    </row>
    <row r="33" spans="1:31">
      <c r="A33" s="3233"/>
      <c r="B33" s="3237"/>
      <c r="C33" s="704" t="s">
        <v>1052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241"/>
      <c r="R33" s="3242"/>
      <c r="S33" s="3242"/>
      <c r="T33" s="3242"/>
      <c r="U33" s="3242"/>
      <c r="V33" s="3242"/>
      <c r="W33" s="3242"/>
      <c r="X33" s="3242"/>
      <c r="Y33" s="3242"/>
      <c r="Z33" s="3242"/>
      <c r="AA33" s="3242"/>
      <c r="AB33" s="3243"/>
    </row>
    <row r="34" spans="1:31" ht="15" customHeight="1">
      <c r="A34" s="3233"/>
      <c r="B34" s="3247" t="s">
        <v>1060</v>
      </c>
      <c r="C34" s="707" t="s">
        <v>1048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241"/>
      <c r="R34" s="3242"/>
      <c r="S34" s="3242"/>
      <c r="T34" s="3242"/>
      <c r="U34" s="3242"/>
      <c r="V34" s="3242"/>
      <c r="W34" s="3242"/>
      <c r="X34" s="3242"/>
      <c r="Y34" s="3242"/>
      <c r="Z34" s="3242"/>
      <c r="AA34" s="3242"/>
      <c r="AB34" s="3243"/>
    </row>
    <row r="35" spans="1:31">
      <c r="A35" s="3233"/>
      <c r="B35" s="3236"/>
      <c r="C35" s="698" t="s">
        <v>1049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241"/>
      <c r="R35" s="3242"/>
      <c r="S35" s="3242"/>
      <c r="T35" s="3242"/>
      <c r="U35" s="3242"/>
      <c r="V35" s="3242"/>
      <c r="W35" s="3242"/>
      <c r="X35" s="3242"/>
      <c r="Y35" s="3242"/>
      <c r="Z35" s="3242"/>
      <c r="AA35" s="3242"/>
      <c r="AB35" s="3243"/>
    </row>
    <row r="36" spans="1:31">
      <c r="A36" s="3233"/>
      <c r="B36" s="3236"/>
      <c r="C36" s="698" t="s">
        <v>1050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241"/>
      <c r="R36" s="3242"/>
      <c r="S36" s="3242"/>
      <c r="T36" s="3242"/>
      <c r="U36" s="3242"/>
      <c r="V36" s="3242"/>
      <c r="W36" s="3242"/>
      <c r="X36" s="3242"/>
      <c r="Y36" s="3242"/>
      <c r="Z36" s="3242"/>
      <c r="AA36" s="3242"/>
      <c r="AB36" s="3243"/>
    </row>
    <row r="37" spans="1:31">
      <c r="A37" s="3233"/>
      <c r="B37" s="3236"/>
      <c r="C37" s="698" t="s">
        <v>1051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241"/>
      <c r="R37" s="3242"/>
      <c r="S37" s="3242"/>
      <c r="T37" s="3242"/>
      <c r="U37" s="3242"/>
      <c r="V37" s="3242"/>
      <c r="W37" s="3242"/>
      <c r="X37" s="3242"/>
      <c r="Y37" s="3242"/>
      <c r="Z37" s="3242"/>
      <c r="AA37" s="3242"/>
      <c r="AB37" s="3243"/>
    </row>
    <row r="38" spans="1:31">
      <c r="A38" s="3233"/>
      <c r="B38" s="3237"/>
      <c r="C38" s="704" t="s">
        <v>1052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241"/>
      <c r="R38" s="3242"/>
      <c r="S38" s="3242"/>
      <c r="T38" s="3242"/>
      <c r="U38" s="3242"/>
      <c r="V38" s="3242"/>
      <c r="W38" s="3242"/>
      <c r="X38" s="3242"/>
      <c r="Y38" s="3242"/>
      <c r="Z38" s="3242"/>
      <c r="AA38" s="3242"/>
      <c r="AB38" s="3243"/>
    </row>
    <row r="39" spans="1:31">
      <c r="A39" s="3233"/>
      <c r="B39" s="3247" t="s">
        <v>1061</v>
      </c>
      <c r="C39" s="707" t="s">
        <v>1048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241"/>
      <c r="R39" s="3242"/>
      <c r="S39" s="3242"/>
      <c r="T39" s="3242"/>
      <c r="U39" s="3242"/>
      <c r="V39" s="3242"/>
      <c r="W39" s="3242"/>
      <c r="X39" s="3242"/>
      <c r="Y39" s="3242"/>
      <c r="Z39" s="3242"/>
      <c r="AA39" s="3242"/>
      <c r="AB39" s="3243"/>
    </row>
    <row r="40" spans="1:31">
      <c r="A40" s="3233"/>
      <c r="B40" s="3236"/>
      <c r="C40" s="698" t="s">
        <v>1049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241"/>
      <c r="R40" s="3242"/>
      <c r="S40" s="3242"/>
      <c r="T40" s="3242"/>
      <c r="U40" s="3242"/>
      <c r="V40" s="3242"/>
      <c r="W40" s="3242"/>
      <c r="X40" s="3242"/>
      <c r="Y40" s="3242"/>
      <c r="Z40" s="3242"/>
      <c r="AA40" s="3242"/>
      <c r="AB40" s="3243"/>
    </row>
    <row r="41" spans="1:31" ht="12" thickBot="1">
      <c r="A41" s="3233"/>
      <c r="B41" s="3236"/>
      <c r="C41" s="698" t="s">
        <v>1050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244"/>
      <c r="R41" s="3245"/>
      <c r="S41" s="3245"/>
      <c r="T41" s="3245"/>
      <c r="U41" s="3245"/>
      <c r="V41" s="3245"/>
      <c r="W41" s="3245"/>
      <c r="X41" s="3245"/>
      <c r="Y41" s="3245"/>
      <c r="Z41" s="3245"/>
      <c r="AA41" s="3245"/>
      <c r="AB41" s="3246"/>
    </row>
    <row r="42" spans="1:31">
      <c r="A42" s="3233"/>
      <c r="B42" s="3236"/>
      <c r="C42" s="698" t="s">
        <v>1051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1062</v>
      </c>
    </row>
    <row r="43" spans="1:31" ht="12" thickBot="1">
      <c r="A43" s="3234"/>
      <c r="B43" s="3248"/>
      <c r="C43" s="713" t="s">
        <v>1052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1063</v>
      </c>
    </row>
    <row r="44" spans="1:31" ht="15" customHeight="1">
      <c r="A44" s="3249" t="s">
        <v>1064</v>
      </c>
      <c r="B44" s="3252" t="s">
        <v>1065</v>
      </c>
      <c r="C44" s="720" t="s">
        <v>1048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255" t="s">
        <v>1066</v>
      </c>
      <c r="R44" s="3255"/>
      <c r="S44" s="3255"/>
      <c r="T44" s="3255"/>
      <c r="U44" s="3255"/>
      <c r="V44" s="3255"/>
      <c r="W44" s="3255"/>
      <c r="X44" s="3255"/>
      <c r="Y44" s="3255"/>
      <c r="Z44" s="3255"/>
      <c r="AA44" s="3255"/>
      <c r="AB44" s="3256"/>
      <c r="AE44" s="640">
        <v>557642</v>
      </c>
    </row>
    <row r="45" spans="1:31">
      <c r="A45" s="3250"/>
      <c r="B45" s="3253"/>
      <c r="C45" s="723" t="s">
        <v>1049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257"/>
      <c r="R45" s="3257"/>
      <c r="S45" s="3257"/>
      <c r="T45" s="3257"/>
      <c r="U45" s="3257"/>
      <c r="V45" s="3257"/>
      <c r="W45" s="3257"/>
      <c r="X45" s="3257"/>
      <c r="Y45" s="3257"/>
      <c r="Z45" s="3257"/>
      <c r="AA45" s="3257"/>
      <c r="AB45" s="3258"/>
      <c r="AE45" s="640">
        <v>-6873</v>
      </c>
    </row>
    <row r="46" spans="1:31">
      <c r="A46" s="3250"/>
      <c r="B46" s="3253"/>
      <c r="C46" s="723" t="s">
        <v>1050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257"/>
      <c r="R46" s="3257"/>
      <c r="S46" s="3257"/>
      <c r="T46" s="3257"/>
      <c r="U46" s="3257"/>
      <c r="V46" s="3257"/>
      <c r="W46" s="3257"/>
      <c r="X46" s="3257"/>
      <c r="Y46" s="3257"/>
      <c r="Z46" s="3257"/>
      <c r="AA46" s="3257"/>
      <c r="AB46" s="3258"/>
      <c r="AE46" s="640">
        <f>SUM(AE44:AE45)</f>
        <v>550769</v>
      </c>
    </row>
    <row r="47" spans="1:31">
      <c r="A47" s="3250"/>
      <c r="B47" s="3253"/>
      <c r="C47" s="723" t="s">
        <v>1051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257"/>
      <c r="R47" s="3257"/>
      <c r="S47" s="3257"/>
      <c r="T47" s="3257"/>
      <c r="U47" s="3257"/>
      <c r="V47" s="3257"/>
      <c r="W47" s="3257"/>
      <c r="X47" s="3257"/>
      <c r="Y47" s="3257"/>
      <c r="Z47" s="3257"/>
      <c r="AA47" s="3257"/>
      <c r="AB47" s="3258"/>
    </row>
    <row r="48" spans="1:31">
      <c r="A48" s="3250"/>
      <c r="B48" s="3254"/>
      <c r="C48" s="730" t="s">
        <v>1052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257"/>
      <c r="R48" s="3257"/>
      <c r="S48" s="3257"/>
      <c r="T48" s="3257"/>
      <c r="U48" s="3257"/>
      <c r="V48" s="3257"/>
      <c r="W48" s="3257"/>
      <c r="X48" s="3257"/>
      <c r="Y48" s="3257"/>
      <c r="Z48" s="3257"/>
      <c r="AA48" s="3257"/>
      <c r="AB48" s="3258"/>
    </row>
    <row r="49" spans="1:34">
      <c r="A49" s="3250"/>
      <c r="B49" s="3259" t="s">
        <v>1067</v>
      </c>
      <c r="C49" s="733" t="s">
        <v>1048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257"/>
      <c r="R49" s="3257"/>
      <c r="S49" s="3257"/>
      <c r="T49" s="3257"/>
      <c r="U49" s="3257"/>
      <c r="V49" s="3257"/>
      <c r="W49" s="3257"/>
      <c r="X49" s="3257"/>
      <c r="Y49" s="3257"/>
      <c r="Z49" s="3257"/>
      <c r="AA49" s="3257"/>
      <c r="AB49" s="3258"/>
      <c r="AE49" s="640">
        <v>12099</v>
      </c>
    </row>
    <row r="50" spans="1:34" ht="14.25" customHeight="1">
      <c r="A50" s="3250"/>
      <c r="B50" s="3253"/>
      <c r="C50" s="723" t="s">
        <v>1049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257"/>
      <c r="R50" s="3257"/>
      <c r="S50" s="3257"/>
      <c r="T50" s="3257"/>
      <c r="U50" s="3257"/>
      <c r="V50" s="3257"/>
      <c r="W50" s="3257"/>
      <c r="X50" s="3257"/>
      <c r="Y50" s="3257"/>
      <c r="Z50" s="3257"/>
      <c r="AA50" s="3257"/>
      <c r="AB50" s="3258"/>
      <c r="AE50" s="640">
        <v>-7604</v>
      </c>
    </row>
    <row r="51" spans="1:34">
      <c r="A51" s="3250"/>
      <c r="B51" s="3253"/>
      <c r="C51" s="723" t="s">
        <v>1050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257"/>
      <c r="R51" s="3257"/>
      <c r="S51" s="3257"/>
      <c r="T51" s="3257"/>
      <c r="U51" s="3257"/>
      <c r="V51" s="3257"/>
      <c r="W51" s="3257"/>
      <c r="X51" s="3257"/>
      <c r="Y51" s="3257"/>
      <c r="Z51" s="3257"/>
      <c r="AA51" s="3257"/>
      <c r="AB51" s="3258"/>
      <c r="AE51" s="640">
        <f>SUM(AE49:AE50)</f>
        <v>4495</v>
      </c>
    </row>
    <row r="52" spans="1:34">
      <c r="A52" s="3250"/>
      <c r="B52" s="3253"/>
      <c r="C52" s="723" t="s">
        <v>1051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257"/>
      <c r="R52" s="3257"/>
      <c r="S52" s="3257"/>
      <c r="T52" s="3257"/>
      <c r="U52" s="3257"/>
      <c r="V52" s="3257"/>
      <c r="W52" s="3257"/>
      <c r="X52" s="3257"/>
      <c r="Y52" s="3257"/>
      <c r="Z52" s="3257"/>
      <c r="AA52" s="3257"/>
      <c r="AB52" s="3258"/>
    </row>
    <row r="53" spans="1:34">
      <c r="A53" s="3250"/>
      <c r="B53" s="3254"/>
      <c r="C53" s="730" t="s">
        <v>1052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257"/>
      <c r="R53" s="3257"/>
      <c r="S53" s="3257"/>
      <c r="T53" s="3257"/>
      <c r="U53" s="3257"/>
      <c r="V53" s="3257"/>
      <c r="W53" s="3257"/>
      <c r="X53" s="3257"/>
      <c r="Y53" s="3257"/>
      <c r="Z53" s="3257"/>
      <c r="AA53" s="3257"/>
      <c r="AB53" s="3258"/>
    </row>
    <row r="54" spans="1:34">
      <c r="A54" s="3250"/>
      <c r="B54" s="3259" t="s">
        <v>1068</v>
      </c>
      <c r="C54" s="733" t="s">
        <v>1048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257"/>
      <c r="R54" s="3257"/>
      <c r="S54" s="3257"/>
      <c r="T54" s="3257"/>
      <c r="U54" s="3257"/>
      <c r="V54" s="3257"/>
      <c r="W54" s="3257"/>
      <c r="X54" s="3257"/>
      <c r="Y54" s="3257"/>
      <c r="Z54" s="3257"/>
      <c r="AA54" s="3257"/>
      <c r="AB54" s="3258"/>
      <c r="AE54" s="640">
        <v>374165</v>
      </c>
    </row>
    <row r="55" spans="1:34">
      <c r="A55" s="3250"/>
      <c r="B55" s="3253"/>
      <c r="C55" s="723" t="s">
        <v>1049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257"/>
      <c r="R55" s="3257"/>
      <c r="S55" s="3257"/>
      <c r="T55" s="3257"/>
      <c r="U55" s="3257"/>
      <c r="V55" s="3257"/>
      <c r="W55" s="3257"/>
      <c r="X55" s="3257"/>
      <c r="Y55" s="3257"/>
      <c r="Z55" s="3257"/>
      <c r="AA55" s="3257"/>
      <c r="AB55" s="3258"/>
      <c r="AE55" s="640">
        <v>-334740</v>
      </c>
    </row>
    <row r="56" spans="1:34">
      <c r="A56" s="3250"/>
      <c r="B56" s="3253"/>
      <c r="C56" s="723" t="s">
        <v>1050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257"/>
      <c r="R56" s="3257"/>
      <c r="S56" s="3257"/>
      <c r="T56" s="3257"/>
      <c r="U56" s="3257"/>
      <c r="V56" s="3257"/>
      <c r="W56" s="3257"/>
      <c r="X56" s="3257"/>
      <c r="Y56" s="3257"/>
      <c r="Z56" s="3257"/>
      <c r="AA56" s="3257"/>
      <c r="AB56" s="3258"/>
      <c r="AE56" s="640">
        <f>SUM(AE54:AE55)</f>
        <v>39425</v>
      </c>
    </row>
    <row r="57" spans="1:34">
      <c r="A57" s="3250"/>
      <c r="B57" s="3253"/>
      <c r="C57" s="723" t="s">
        <v>1051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257"/>
      <c r="R57" s="3257"/>
      <c r="S57" s="3257"/>
      <c r="T57" s="3257"/>
      <c r="U57" s="3257"/>
      <c r="V57" s="3257"/>
      <c r="W57" s="3257"/>
      <c r="X57" s="3257"/>
      <c r="Y57" s="3257"/>
      <c r="Z57" s="3257"/>
      <c r="AA57" s="3257"/>
      <c r="AB57" s="3258"/>
    </row>
    <row r="58" spans="1:34">
      <c r="A58" s="3250"/>
      <c r="B58" s="3254"/>
      <c r="C58" s="730" t="s">
        <v>1052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257"/>
      <c r="R58" s="3257"/>
      <c r="S58" s="3257"/>
      <c r="T58" s="3257"/>
      <c r="U58" s="3257"/>
      <c r="V58" s="3257"/>
      <c r="W58" s="3257"/>
      <c r="X58" s="3257"/>
      <c r="Y58" s="3257"/>
      <c r="Z58" s="3257"/>
      <c r="AA58" s="3257"/>
      <c r="AB58" s="3258"/>
      <c r="AE58" s="640">
        <v>5024</v>
      </c>
    </row>
    <row r="59" spans="1:34">
      <c r="A59" s="3250"/>
      <c r="B59" s="3259" t="s">
        <v>1069</v>
      </c>
      <c r="C59" s="733" t="s">
        <v>1048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257"/>
      <c r="R59" s="3257"/>
      <c r="S59" s="3257"/>
      <c r="T59" s="3257"/>
      <c r="U59" s="3257"/>
      <c r="V59" s="3257"/>
      <c r="W59" s="3257"/>
      <c r="X59" s="3257"/>
      <c r="Y59" s="3257"/>
      <c r="Z59" s="3257"/>
      <c r="AA59" s="3257"/>
      <c r="AB59" s="3258"/>
    </row>
    <row r="60" spans="1:34">
      <c r="A60" s="3250"/>
      <c r="B60" s="3253"/>
      <c r="C60" s="723" t="s">
        <v>1049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257"/>
      <c r="R60" s="3257"/>
      <c r="S60" s="3257"/>
      <c r="T60" s="3257"/>
      <c r="U60" s="3257"/>
      <c r="V60" s="3257"/>
      <c r="W60" s="3257"/>
      <c r="X60" s="3257"/>
      <c r="Y60" s="3257"/>
      <c r="Z60" s="3257"/>
      <c r="AA60" s="3257"/>
      <c r="AB60" s="3258"/>
    </row>
    <row r="61" spans="1:34">
      <c r="A61" s="3250"/>
      <c r="B61" s="3253"/>
      <c r="C61" s="723" t="s">
        <v>1050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257"/>
      <c r="R61" s="3257"/>
      <c r="S61" s="3257"/>
      <c r="T61" s="3257"/>
      <c r="U61" s="3257"/>
      <c r="V61" s="3257"/>
      <c r="W61" s="3257"/>
      <c r="X61" s="3257"/>
      <c r="Y61" s="3257"/>
      <c r="Z61" s="3257"/>
      <c r="AA61" s="3257"/>
      <c r="AB61" s="3258"/>
    </row>
    <row r="62" spans="1:34">
      <c r="A62" s="3250"/>
      <c r="B62" s="3253"/>
      <c r="C62" s="723" t="s">
        <v>1051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257"/>
      <c r="R62" s="3257"/>
      <c r="S62" s="3257"/>
      <c r="T62" s="3257"/>
      <c r="U62" s="3257"/>
      <c r="V62" s="3257"/>
      <c r="W62" s="3257"/>
      <c r="X62" s="3257"/>
      <c r="Y62" s="3257"/>
      <c r="Z62" s="3257"/>
      <c r="AA62" s="3257"/>
      <c r="AB62" s="3258"/>
      <c r="AE62" s="640">
        <v>2052</v>
      </c>
      <c r="AG62" s="712">
        <f>SUM(AE62,AE58,AE56,AE51,AE46)</f>
        <v>601765</v>
      </c>
      <c r="AH62" s="640" t="s">
        <v>1070</v>
      </c>
    </row>
    <row r="63" spans="1:34">
      <c r="A63" s="3250"/>
      <c r="B63" s="3254"/>
      <c r="C63" s="730" t="s">
        <v>1052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257"/>
      <c r="R63" s="3257"/>
      <c r="S63" s="3257"/>
      <c r="T63" s="3257"/>
      <c r="U63" s="3257"/>
      <c r="V63" s="3257"/>
      <c r="W63" s="3257"/>
      <c r="X63" s="3257"/>
      <c r="Y63" s="3257"/>
      <c r="Z63" s="3257"/>
      <c r="AA63" s="3257"/>
      <c r="AB63" s="3258"/>
    </row>
    <row r="64" spans="1:34">
      <c r="A64" s="3250"/>
      <c r="B64" s="734"/>
      <c r="C64" s="733" t="s">
        <v>1048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257"/>
      <c r="R64" s="3257"/>
      <c r="S64" s="3257"/>
      <c r="T64" s="3257"/>
      <c r="U64" s="3257"/>
      <c r="V64" s="3257"/>
      <c r="W64" s="3257"/>
      <c r="X64" s="3257"/>
      <c r="Y64" s="3257"/>
      <c r="Z64" s="3257"/>
      <c r="AA64" s="3257"/>
      <c r="AB64" s="3258"/>
    </row>
    <row r="65" spans="1:30">
      <c r="A65" s="3250"/>
      <c r="B65" s="734" t="s">
        <v>1071</v>
      </c>
      <c r="C65" s="723" t="s">
        <v>1049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257"/>
      <c r="R65" s="3257"/>
      <c r="S65" s="3257"/>
      <c r="T65" s="3257"/>
      <c r="U65" s="3257"/>
      <c r="V65" s="3257"/>
      <c r="W65" s="3257"/>
      <c r="X65" s="3257"/>
      <c r="Y65" s="3257"/>
      <c r="Z65" s="3257"/>
      <c r="AA65" s="3257"/>
      <c r="AB65" s="3258"/>
    </row>
    <row r="66" spans="1:30">
      <c r="A66" s="3250"/>
      <c r="B66" s="734" t="s">
        <v>1072</v>
      </c>
      <c r="C66" s="723" t="s">
        <v>1050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257"/>
      <c r="R66" s="3257"/>
      <c r="S66" s="3257"/>
      <c r="T66" s="3257"/>
      <c r="U66" s="3257"/>
      <c r="V66" s="3257"/>
      <c r="W66" s="3257"/>
      <c r="X66" s="3257"/>
      <c r="Y66" s="3257"/>
      <c r="Z66" s="3257"/>
      <c r="AA66" s="3257"/>
      <c r="AB66" s="3258"/>
    </row>
    <row r="67" spans="1:30">
      <c r="A67" s="3250"/>
      <c r="B67" s="734"/>
      <c r="C67" s="723" t="s">
        <v>1051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1073</v>
      </c>
    </row>
    <row r="68" spans="1:30" ht="24.75" customHeight="1" thickBot="1">
      <c r="A68" s="3251"/>
      <c r="B68" s="739"/>
      <c r="C68" s="740" t="s">
        <v>1052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1074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249" t="s">
        <v>1075</v>
      </c>
      <c r="B71" s="3263"/>
      <c r="C71" s="720" t="s">
        <v>1076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250"/>
      <c r="B72" s="3264"/>
      <c r="C72" s="723" t="s">
        <v>1049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250"/>
      <c r="B73" s="3264"/>
      <c r="C73" s="723" t="s">
        <v>1050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250"/>
      <c r="B74" s="3264"/>
      <c r="C74" s="723" t="s">
        <v>1077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251"/>
      <c r="B75" s="3265"/>
      <c r="C75" s="740" t="s">
        <v>1052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266" t="s">
        <v>1078</v>
      </c>
      <c r="B77" s="3269" t="s">
        <v>1079</v>
      </c>
      <c r="C77" s="767" t="s">
        <v>1076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267"/>
      <c r="B78" s="3270"/>
      <c r="C78" s="769" t="s">
        <v>1049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267"/>
      <c r="B79" s="3270"/>
      <c r="C79" s="769" t="s">
        <v>1050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267"/>
      <c r="B80" s="3270"/>
      <c r="C80" s="769" t="s">
        <v>1077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268"/>
      <c r="B81" s="3271"/>
      <c r="C81" s="775" t="s">
        <v>1052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219" t="s">
        <v>1080</v>
      </c>
      <c r="B82" s="3273" t="s">
        <v>1081</v>
      </c>
      <c r="C82" s="778" t="s">
        <v>1076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220"/>
      <c r="B83" s="3274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220"/>
      <c r="B84" s="3274"/>
      <c r="C84" s="780" t="s">
        <v>1049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220"/>
      <c r="B85" s="3274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220"/>
      <c r="B86" s="3274"/>
      <c r="C86" s="780" t="s">
        <v>1050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220"/>
      <c r="B87" s="3274"/>
      <c r="C87" s="780" t="s">
        <v>1077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272"/>
      <c r="B88" s="3275"/>
      <c r="C88" s="784" t="s">
        <v>1052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1082</v>
      </c>
      <c r="C89" s="788" t="s">
        <v>1048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1083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1050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1084</v>
      </c>
      <c r="C92" s="799" t="s">
        <v>1048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1083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1050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260" t="s">
        <v>1085</v>
      </c>
      <c r="C95" s="808" t="s">
        <v>1048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261"/>
      <c r="C96" s="810" t="s">
        <v>1083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262"/>
      <c r="C97" s="813" t="s">
        <v>1050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249" t="s">
        <v>1075</v>
      </c>
      <c r="B99" s="3263"/>
      <c r="C99" s="720" t="s">
        <v>1076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250"/>
      <c r="B100" s="3264"/>
      <c r="C100" s="723" t="s">
        <v>1049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250"/>
      <c r="B101" s="3264"/>
      <c r="C101" s="723" t="s">
        <v>1050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250"/>
      <c r="B102" s="3264"/>
      <c r="C102" s="723" t="s">
        <v>1077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251"/>
      <c r="B103" s="3265"/>
      <c r="C103" s="740" t="s">
        <v>1052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1086</v>
      </c>
      <c r="D106" s="640" t="s">
        <v>1087</v>
      </c>
      <c r="F106" s="640" t="s">
        <v>582</v>
      </c>
    </row>
    <row r="109" spans="1:17" ht="13.15">
      <c r="A109" s="816" t="s">
        <v>1088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1089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1090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1091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1092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W328"/>
  <sheetViews>
    <sheetView tabSelected="1" topLeftCell="A147" zoomScale="95" zoomScaleNormal="95" workbookViewId="0">
      <selection activeCell="M27" sqref="M27"/>
    </sheetView>
  </sheetViews>
  <sheetFormatPr defaultColWidth="9" defaultRowHeight="13.15" outlineLevelRow="1" outlineLevelCol="2"/>
  <cols>
    <col min="1" max="1" width="11.86328125" style="2489" customWidth="1"/>
    <col min="2" max="2" width="19" style="2489" bestFit="1" customWidth="1"/>
    <col min="3" max="3" width="53" style="2489" customWidth="1"/>
    <col min="4" max="4" width="12" style="2715" hidden="1" customWidth="1" outlineLevel="2"/>
    <col min="5" max="5" width="9" style="2715" hidden="1" customWidth="1" outlineLevel="2"/>
    <col min="6" max="6" width="8.86328125" style="2715" hidden="1" customWidth="1" outlineLevel="2"/>
    <col min="7" max="7" width="18" style="2715" customWidth="1" collapsed="1"/>
    <col min="8" max="12" width="16.59765625" style="2715" hidden="1" customWidth="1"/>
    <col min="13" max="13" width="16.59765625" style="2716" customWidth="1"/>
    <col min="14" max="15" width="13.73046875" style="2716" bestFit="1" customWidth="1"/>
    <col min="16" max="16" width="12.265625" style="3065" customWidth="1"/>
    <col min="17" max="17" width="15.265625" style="2717" hidden="1" customWidth="1" outlineLevel="2"/>
    <col min="18" max="18" width="12.59765625" style="2489" hidden="1" customWidth="1" outlineLevel="2"/>
    <col min="19" max="19" width="11" style="2715" hidden="1" customWidth="1" outlineLevel="2"/>
    <col min="20" max="20" width="14.73046875" style="2715" hidden="1" customWidth="1" outlineLevel="2"/>
    <col min="21" max="21" width="18.265625" style="2489" hidden="1" customWidth="1" collapsed="1"/>
    <col min="22" max="22" width="21" style="2718" bestFit="1" customWidth="1"/>
    <col min="23" max="23" width="15.73046875" style="2719" customWidth="1"/>
    <col min="24" max="16384" width="9" style="2489"/>
  </cols>
  <sheetData>
    <row r="1" spans="1:23" ht="20.25" customHeight="1">
      <c r="A1" s="108" t="s">
        <v>2350</v>
      </c>
      <c r="B1" s="2482"/>
      <c r="C1" s="109"/>
      <c r="D1" s="265"/>
      <c r="E1" s="265"/>
      <c r="F1" s="265"/>
      <c r="G1" s="265"/>
      <c r="H1" s="265"/>
      <c r="I1" s="265"/>
      <c r="J1" s="265"/>
      <c r="K1" s="265"/>
      <c r="L1" s="265"/>
      <c r="M1" s="330"/>
      <c r="N1" s="330"/>
      <c r="O1" s="330"/>
      <c r="P1" s="2714"/>
      <c r="Q1" s="2484"/>
      <c r="R1" s="2485"/>
      <c r="S1" s="2486"/>
      <c r="T1" s="2486"/>
      <c r="U1" s="2485"/>
      <c r="V1" s="2487"/>
      <c r="W1" s="2488"/>
    </row>
    <row r="2" spans="1:23" ht="15" customHeight="1">
      <c r="A2" s="2490" t="s">
        <v>2351</v>
      </c>
      <c r="B2" s="2491"/>
      <c r="C2" s="2485"/>
      <c r="D2" s="2486"/>
      <c r="E2" s="2486"/>
      <c r="F2" s="2486"/>
      <c r="G2" s="2486"/>
      <c r="H2" s="2486"/>
      <c r="I2" s="2486"/>
      <c r="J2" s="2486"/>
      <c r="K2" s="2486"/>
      <c r="L2" s="2486"/>
      <c r="M2" s="2492"/>
      <c r="N2" s="2492"/>
      <c r="O2" s="2492"/>
      <c r="P2" s="2714"/>
      <c r="Q2" s="2484"/>
      <c r="R2" s="2485"/>
      <c r="S2" s="2486"/>
      <c r="T2" s="2486"/>
      <c r="U2" s="2485"/>
      <c r="V2" s="2487"/>
      <c r="W2" s="2488"/>
    </row>
    <row r="3" spans="1:23" ht="15" customHeight="1" thickBot="1">
      <c r="A3" s="2491"/>
      <c r="B3" s="2491"/>
      <c r="C3" s="2485"/>
      <c r="D3" s="2486"/>
      <c r="E3" s="2486"/>
      <c r="F3" s="2486"/>
      <c r="G3" s="2486"/>
      <c r="H3" s="2486"/>
      <c r="I3" s="2486"/>
      <c r="J3" s="2486"/>
      <c r="K3" s="2486"/>
      <c r="L3" s="2486"/>
      <c r="M3" s="2492"/>
      <c r="N3" s="2492"/>
      <c r="O3" s="2492"/>
      <c r="P3" s="2714"/>
      <c r="Q3" s="2484"/>
      <c r="R3" s="2485"/>
      <c r="S3" s="2486"/>
      <c r="T3" s="2486"/>
      <c r="U3" s="2485"/>
      <c r="V3" s="2487"/>
      <c r="W3" s="2488"/>
    </row>
    <row r="4" spans="1:23" ht="36" customHeight="1" thickBot="1">
      <c r="A4" s="2493" t="s">
        <v>120</v>
      </c>
      <c r="B4" s="2494" t="s">
        <v>489</v>
      </c>
      <c r="C4" s="2495" t="s">
        <v>647</v>
      </c>
      <c r="D4" s="2493" t="s">
        <v>641</v>
      </c>
      <c r="E4" s="2493" t="s">
        <v>642</v>
      </c>
      <c r="F4" s="2493" t="s">
        <v>643</v>
      </c>
      <c r="G4" s="3000" t="s">
        <v>635</v>
      </c>
      <c r="H4" s="3000" t="s">
        <v>2352</v>
      </c>
      <c r="I4" s="3000" t="s">
        <v>1934</v>
      </c>
      <c r="J4" s="3000" t="s">
        <v>2644</v>
      </c>
      <c r="K4" s="3000" t="s">
        <v>2766</v>
      </c>
      <c r="L4" s="3000" t="s">
        <v>2107</v>
      </c>
      <c r="M4" s="2496" t="s">
        <v>2830</v>
      </c>
      <c r="N4" s="2496" t="s">
        <v>2855</v>
      </c>
      <c r="O4" s="2496" t="s">
        <v>2923</v>
      </c>
      <c r="P4" s="2497" t="s">
        <v>5</v>
      </c>
      <c r="Q4" s="2498" t="s">
        <v>778</v>
      </c>
      <c r="R4" s="2496" t="s">
        <v>4</v>
      </c>
      <c r="S4" s="2496" t="s">
        <v>640</v>
      </c>
      <c r="T4" s="2496" t="s">
        <v>636</v>
      </c>
      <c r="U4" s="2496" t="s">
        <v>637</v>
      </c>
      <c r="V4" s="2487"/>
      <c r="W4" s="2488"/>
    </row>
    <row r="5" spans="1:23" ht="13.9" thickBot="1">
      <c r="A5" s="3011"/>
      <c r="B5" s="2500" t="s">
        <v>3</v>
      </c>
      <c r="C5" s="2499"/>
      <c r="D5" s="2501"/>
      <c r="E5" s="2501"/>
      <c r="F5" s="2501"/>
      <c r="G5" s="2501"/>
      <c r="H5" s="2501"/>
      <c r="I5" s="2501"/>
      <c r="J5" s="2501"/>
      <c r="K5" s="2501"/>
      <c r="L5" s="2501"/>
      <c r="M5" s="2501"/>
      <c r="N5" s="2501"/>
      <c r="O5" s="2501"/>
      <c r="P5" s="2502"/>
      <c r="Q5" s="2503"/>
      <c r="R5" s="2501"/>
      <c r="S5" s="2501"/>
      <c r="T5" s="2501"/>
      <c r="U5" s="2504"/>
      <c r="V5" s="2487" t="s">
        <v>762</v>
      </c>
      <c r="W5" s="2488" t="s">
        <v>707</v>
      </c>
    </row>
    <row r="6" spans="1:23" ht="13.5" outlineLevel="1">
      <c r="A6" s="2505"/>
      <c r="B6" s="2506" t="s">
        <v>248</v>
      </c>
      <c r="C6" s="2507" t="s">
        <v>1671</v>
      </c>
      <c r="D6" s="2508"/>
      <c r="E6" s="2508"/>
      <c r="F6" s="2509"/>
      <c r="G6" s="2508" t="s">
        <v>638</v>
      </c>
      <c r="H6" s="2508">
        <v>360210</v>
      </c>
      <c r="I6" s="2508">
        <v>360210</v>
      </c>
      <c r="J6" s="2508">
        <v>360210</v>
      </c>
      <c r="K6" s="2508">
        <v>360210</v>
      </c>
      <c r="L6" s="2508">
        <v>360210</v>
      </c>
      <c r="M6" s="3121">
        <v>360210</v>
      </c>
      <c r="N6" s="2510">
        <v>360210</v>
      </c>
      <c r="O6" s="2510">
        <f>+[4]TSÚ!$B$11</f>
        <v>360210</v>
      </c>
      <c r="P6" s="2511">
        <f>+O6-N6</f>
        <v>0</v>
      </c>
      <c r="Q6" s="2512"/>
      <c r="R6" s="2513"/>
      <c r="S6" s="2514"/>
      <c r="T6" s="2514"/>
      <c r="U6" s="2510"/>
      <c r="V6" s="2487"/>
      <c r="W6" s="2488"/>
    </row>
    <row r="7" spans="1:23" ht="13.5" outlineLevel="1">
      <c r="A7" s="2505"/>
      <c r="B7" s="2515" t="s">
        <v>248</v>
      </c>
      <c r="C7" s="2507" t="s">
        <v>1670</v>
      </c>
      <c r="D7" s="2516"/>
      <c r="E7" s="2516"/>
      <c r="F7" s="2517"/>
      <c r="G7" s="2516" t="s">
        <v>638</v>
      </c>
      <c r="H7" s="2516">
        <v>450000</v>
      </c>
      <c r="I7" s="2516">
        <v>450000</v>
      </c>
      <c r="J7" s="2516">
        <v>450000</v>
      </c>
      <c r="K7" s="2516">
        <v>450000</v>
      </c>
      <c r="L7" s="2516">
        <v>450000</v>
      </c>
      <c r="M7" s="3122">
        <v>450000</v>
      </c>
      <c r="N7" s="2518">
        <v>450000</v>
      </c>
      <c r="O7" s="2518">
        <f>+[4]TSÚ!$B$12</f>
        <v>450000</v>
      </c>
      <c r="P7" s="2519">
        <f t="shared" ref="P7:P71" si="0">+O7-N7</f>
        <v>0</v>
      </c>
      <c r="Q7" s="2520"/>
      <c r="R7" s="2521"/>
      <c r="S7" s="2522"/>
      <c r="T7" s="2522"/>
      <c r="U7" s="2518"/>
      <c r="V7" s="2487"/>
      <c r="W7" s="2488"/>
    </row>
    <row r="8" spans="1:23" ht="13.5" outlineLevel="1">
      <c r="A8" s="2505"/>
      <c r="B8" s="2515" t="s">
        <v>248</v>
      </c>
      <c r="C8" s="2507" t="s">
        <v>941</v>
      </c>
      <c r="D8" s="2516"/>
      <c r="E8" s="2516"/>
      <c r="F8" s="2517"/>
      <c r="G8" s="2516" t="s">
        <v>638</v>
      </c>
      <c r="H8" s="2516">
        <v>997870</v>
      </c>
      <c r="I8" s="2516">
        <v>997870</v>
      </c>
      <c r="J8" s="2516">
        <v>997870</v>
      </c>
      <c r="K8" s="2516">
        <v>997870</v>
      </c>
      <c r="L8" s="2516">
        <v>997870</v>
      </c>
      <c r="M8" s="3122">
        <v>997870</v>
      </c>
      <c r="N8" s="2518">
        <v>997870</v>
      </c>
      <c r="O8" s="2518">
        <f>+[4]TSÚ!$B$13</f>
        <v>997870</v>
      </c>
      <c r="P8" s="2519">
        <f t="shared" si="0"/>
        <v>0</v>
      </c>
      <c r="Q8" s="2520"/>
      <c r="R8" s="2521"/>
      <c r="S8" s="2522"/>
      <c r="T8" s="2522"/>
      <c r="U8" s="2518"/>
      <c r="V8" s="2487"/>
      <c r="W8" s="2488"/>
    </row>
    <row r="9" spans="1:23" ht="13.5" outlineLevel="1">
      <c r="A9" s="2505"/>
      <c r="B9" s="2515" t="s">
        <v>248</v>
      </c>
      <c r="C9" s="2507" t="s">
        <v>2292</v>
      </c>
      <c r="D9" s="2516"/>
      <c r="E9" s="2516"/>
      <c r="F9" s="2517"/>
      <c r="G9" s="2516" t="s">
        <v>638</v>
      </c>
      <c r="H9" s="2516">
        <v>1250000</v>
      </c>
      <c r="I9" s="2516">
        <v>1250000</v>
      </c>
      <c r="J9" s="2516">
        <v>1250000</v>
      </c>
      <c r="K9" s="2516">
        <v>1250000</v>
      </c>
      <c r="L9" s="2516">
        <v>1250000</v>
      </c>
      <c r="M9" s="3122">
        <v>1250000</v>
      </c>
      <c r="N9" s="2518">
        <v>1250000</v>
      </c>
      <c r="O9" s="2518">
        <f>+[4]TSÚ!$B$14</f>
        <v>1250000</v>
      </c>
      <c r="P9" s="2519">
        <f t="shared" si="0"/>
        <v>0</v>
      </c>
      <c r="Q9" s="2520"/>
      <c r="R9" s="2521"/>
      <c r="S9" s="2522"/>
      <c r="T9" s="2522"/>
      <c r="U9" s="2518"/>
      <c r="V9" s="2487"/>
      <c r="W9" s="2488"/>
    </row>
    <row r="10" spans="1:23" ht="13.5" outlineLevel="1">
      <c r="A10" s="2505"/>
      <c r="B10" s="2515" t="s">
        <v>248</v>
      </c>
      <c r="C10" s="2507" t="s">
        <v>2826</v>
      </c>
      <c r="D10" s="2516"/>
      <c r="E10" s="2516"/>
      <c r="F10" s="2517"/>
      <c r="G10" s="2516" t="s">
        <v>638</v>
      </c>
      <c r="H10" s="2516">
        <v>0</v>
      </c>
      <c r="I10" s="2516">
        <v>0</v>
      </c>
      <c r="J10" s="2516">
        <v>0</v>
      </c>
      <c r="K10" s="2516">
        <v>0</v>
      </c>
      <c r="L10" s="2516">
        <v>2000000</v>
      </c>
      <c r="M10" s="3122">
        <v>2000000</v>
      </c>
      <c r="N10" s="2518">
        <v>2000000</v>
      </c>
      <c r="O10" s="2518">
        <f>+[4]TSÚ!$B$15</f>
        <v>2000000</v>
      </c>
      <c r="P10" s="2519">
        <f t="shared" si="0"/>
        <v>0</v>
      </c>
      <c r="Q10" s="2520"/>
      <c r="R10" s="2521"/>
      <c r="S10" s="2522"/>
      <c r="T10" s="2522"/>
      <c r="U10" s="2518"/>
      <c r="V10" s="2487"/>
      <c r="W10" s="2488"/>
    </row>
    <row r="11" spans="1:23" ht="13.5" outlineLevel="1">
      <c r="A11" s="2505"/>
      <c r="B11" s="2515" t="s">
        <v>248</v>
      </c>
      <c r="C11" s="2507" t="s">
        <v>2296</v>
      </c>
      <c r="D11" s="2516"/>
      <c r="E11" s="2516"/>
      <c r="F11" s="2517"/>
      <c r="G11" s="2516" t="s">
        <v>638</v>
      </c>
      <c r="H11" s="2516">
        <v>500000</v>
      </c>
      <c r="I11" s="2516">
        <v>500000</v>
      </c>
      <c r="J11" s="2516">
        <v>500000</v>
      </c>
      <c r="K11" s="2516">
        <v>500000</v>
      </c>
      <c r="L11" s="2516">
        <v>500000</v>
      </c>
      <c r="M11" s="3122">
        <v>500000</v>
      </c>
      <c r="N11" s="2518">
        <v>500000</v>
      </c>
      <c r="O11" s="2518">
        <f>+[4]TSÚ!$B$16</f>
        <v>500000</v>
      </c>
      <c r="P11" s="2519">
        <f t="shared" si="0"/>
        <v>0</v>
      </c>
      <c r="Q11" s="2520"/>
      <c r="R11" s="2521"/>
      <c r="S11" s="2522"/>
      <c r="T11" s="2522"/>
      <c r="U11" s="2518"/>
      <c r="V11" s="2487"/>
      <c r="W11" s="2488"/>
    </row>
    <row r="12" spans="1:23" ht="13.5" outlineLevel="1">
      <c r="A12" s="2505"/>
      <c r="B12" s="2515" t="s">
        <v>248</v>
      </c>
      <c r="C12" s="2507" t="s">
        <v>2787</v>
      </c>
      <c r="D12" s="2516"/>
      <c r="E12" s="2516"/>
      <c r="F12" s="2517"/>
      <c r="G12" s="2516" t="s">
        <v>638</v>
      </c>
      <c r="H12" s="2516">
        <v>700000</v>
      </c>
      <c r="I12" s="2516">
        <v>700000</v>
      </c>
      <c r="J12" s="2516">
        <v>700000</v>
      </c>
      <c r="K12" s="2516">
        <v>700000</v>
      </c>
      <c r="L12" s="2516">
        <v>700000</v>
      </c>
      <c r="M12" s="3122">
        <v>700000</v>
      </c>
      <c r="N12" s="2518">
        <v>700000</v>
      </c>
      <c r="O12" s="2518">
        <f>+[4]TSÚ!$B$17</f>
        <v>700000</v>
      </c>
      <c r="P12" s="2519">
        <f t="shared" si="0"/>
        <v>0</v>
      </c>
      <c r="Q12" s="2520"/>
      <c r="R12" s="2521"/>
      <c r="S12" s="2522"/>
      <c r="T12" s="2522"/>
      <c r="U12" s="2518"/>
      <c r="V12" s="2487"/>
      <c r="W12" s="2488"/>
    </row>
    <row r="13" spans="1:23" ht="13.5" outlineLevel="1">
      <c r="A13" s="2505"/>
      <c r="B13" s="2515" t="s">
        <v>248</v>
      </c>
      <c r="C13" s="2507" t="s">
        <v>2694</v>
      </c>
      <c r="D13" s="2516"/>
      <c r="E13" s="2516"/>
      <c r="F13" s="2517"/>
      <c r="G13" s="2516" t="s">
        <v>638</v>
      </c>
      <c r="H13" s="2516"/>
      <c r="I13" s="2516"/>
      <c r="J13" s="2516">
        <v>1700000</v>
      </c>
      <c r="K13" s="2516">
        <v>1700000</v>
      </c>
      <c r="L13" s="2516">
        <v>1700000</v>
      </c>
      <c r="M13" s="3122">
        <v>1700000</v>
      </c>
      <c r="N13" s="2518">
        <v>1700000</v>
      </c>
      <c r="O13" s="2518">
        <f>+[4]TSÚ!$B$19</f>
        <v>1700000</v>
      </c>
      <c r="P13" s="2519">
        <f t="shared" si="0"/>
        <v>0</v>
      </c>
      <c r="Q13" s="2520"/>
      <c r="R13" s="2521"/>
      <c r="S13" s="2522"/>
      <c r="T13" s="2522"/>
      <c r="U13" s="2518"/>
      <c r="V13" s="2487"/>
      <c r="W13" s="2488"/>
    </row>
    <row r="14" spans="1:23" ht="13.9" outlineLevel="1" thickBot="1">
      <c r="A14" s="2505"/>
      <c r="B14" s="2515" t="s">
        <v>248</v>
      </c>
      <c r="C14" s="2507" t="s">
        <v>2297</v>
      </c>
      <c r="D14" s="2516"/>
      <c r="E14" s="2516"/>
      <c r="F14" s="2517"/>
      <c r="G14" s="2516" t="s">
        <v>638</v>
      </c>
      <c r="H14" s="2516">
        <v>0</v>
      </c>
      <c r="I14" s="2516">
        <v>0</v>
      </c>
      <c r="J14" s="2516">
        <v>0</v>
      </c>
      <c r="K14" s="2516">
        <v>0</v>
      </c>
      <c r="L14" s="2516">
        <v>0</v>
      </c>
      <c r="M14" s="3122">
        <v>0</v>
      </c>
      <c r="N14" s="2518">
        <v>0</v>
      </c>
      <c r="O14" s="2518">
        <f>+[4]TSÚ!$B$18</f>
        <v>0</v>
      </c>
      <c r="P14" s="2519">
        <f t="shared" si="0"/>
        <v>0</v>
      </c>
      <c r="Q14" s="2520"/>
      <c r="R14" s="2521"/>
      <c r="S14" s="2522"/>
      <c r="T14" s="2522"/>
      <c r="U14" s="2518"/>
      <c r="V14" s="2487"/>
      <c r="W14" s="2488"/>
    </row>
    <row r="15" spans="1:23" ht="13.9" thickBot="1">
      <c r="A15" s="3276" t="s">
        <v>622</v>
      </c>
      <c r="B15" s="3277"/>
      <c r="C15" s="2523"/>
      <c r="D15" s="2524"/>
      <c r="E15" s="2524"/>
      <c r="F15" s="2525"/>
      <c r="G15" s="2524"/>
      <c r="H15" s="2524">
        <v>4258080</v>
      </c>
      <c r="I15" s="2524">
        <v>4258080</v>
      </c>
      <c r="J15" s="2524">
        <v>5958080</v>
      </c>
      <c r="K15" s="2524">
        <v>5958080</v>
      </c>
      <c r="L15" s="2524">
        <v>7958080</v>
      </c>
      <c r="M15" s="3123">
        <v>7958080</v>
      </c>
      <c r="N15" s="2526">
        <v>7958080</v>
      </c>
      <c r="O15" s="2526">
        <f>SUM(O6:O14)</f>
        <v>7958080</v>
      </c>
      <c r="P15" s="2527">
        <f t="shared" si="0"/>
        <v>0</v>
      </c>
      <c r="Q15" s="2528"/>
      <c r="R15" s="2528">
        <f>SUM(R6:R14)</f>
        <v>0</v>
      </c>
      <c r="S15" s="2528"/>
      <c r="T15" s="2528"/>
      <c r="U15" s="2528"/>
      <c r="V15" s="2529">
        <f>'Výdaje kapitol celkem'!X72</f>
        <v>7958080</v>
      </c>
      <c r="W15" s="2530">
        <f>+V15-O15</f>
        <v>0</v>
      </c>
    </row>
    <row r="16" spans="1:23" ht="13.5" outlineLevel="1">
      <c r="A16" s="2531"/>
      <c r="B16" s="2515" t="s">
        <v>134</v>
      </c>
      <c r="C16" s="2507"/>
      <c r="D16" s="2516"/>
      <c r="E16" s="2516"/>
      <c r="F16" s="2517"/>
      <c r="G16" s="2516" t="s">
        <v>638</v>
      </c>
      <c r="H16" s="2516">
        <v>600000</v>
      </c>
      <c r="I16" s="2516">
        <v>600000</v>
      </c>
      <c r="J16" s="2516">
        <v>600000</v>
      </c>
      <c r="K16" s="2516">
        <v>600000</v>
      </c>
      <c r="L16" s="2516">
        <v>600000</v>
      </c>
      <c r="M16" s="3122">
        <v>600000</v>
      </c>
      <c r="N16" s="2518">
        <v>600000</v>
      </c>
      <c r="O16" s="2518">
        <f>+'[2]Městská policie'!$B$156</f>
        <v>600000</v>
      </c>
      <c r="P16" s="2519">
        <f t="shared" si="0"/>
        <v>0</v>
      </c>
      <c r="Q16" s="2518"/>
      <c r="R16" s="2518"/>
      <c r="S16" s="2518"/>
      <c r="T16" s="2518"/>
      <c r="U16" s="2518"/>
      <c r="V16" s="2487"/>
      <c r="W16" s="2530"/>
    </row>
    <row r="17" spans="1:23" ht="13.5" hidden="1" outlineLevel="1">
      <c r="A17" s="2532"/>
      <c r="B17" s="2515" t="s">
        <v>134</v>
      </c>
      <c r="C17" s="2507"/>
      <c r="D17" s="2516"/>
      <c r="E17" s="2516"/>
      <c r="F17" s="2517"/>
      <c r="G17" s="2516" t="s">
        <v>638</v>
      </c>
      <c r="H17" s="2516">
        <v>0</v>
      </c>
      <c r="I17" s="2516">
        <v>0</v>
      </c>
      <c r="J17" s="2516">
        <v>0</v>
      </c>
      <c r="K17" s="2516">
        <v>0</v>
      </c>
      <c r="L17" s="2516">
        <v>0</v>
      </c>
      <c r="M17" s="3122">
        <v>0</v>
      </c>
      <c r="N17" s="2518">
        <v>0</v>
      </c>
      <c r="O17" s="2518">
        <f>+'[2]Městská policie'!$B$157</f>
        <v>0</v>
      </c>
      <c r="P17" s="2519">
        <f t="shared" si="0"/>
        <v>0</v>
      </c>
      <c r="Q17" s="2518"/>
      <c r="R17" s="2518"/>
      <c r="S17" s="2518"/>
      <c r="T17" s="2518"/>
      <c r="U17" s="2518"/>
      <c r="V17" s="2487"/>
      <c r="W17" s="2530"/>
    </row>
    <row r="18" spans="1:23" ht="13.5" hidden="1" outlineLevel="1">
      <c r="A18" s="2532"/>
      <c r="B18" s="2515" t="s">
        <v>134</v>
      </c>
      <c r="C18" s="2507"/>
      <c r="D18" s="2516"/>
      <c r="E18" s="2516"/>
      <c r="F18" s="2517"/>
      <c r="G18" s="2516" t="s">
        <v>638</v>
      </c>
      <c r="H18" s="2516">
        <v>0</v>
      </c>
      <c r="I18" s="2516">
        <v>0</v>
      </c>
      <c r="J18" s="2516">
        <v>0</v>
      </c>
      <c r="K18" s="2516">
        <v>0</v>
      </c>
      <c r="L18" s="2516">
        <v>0</v>
      </c>
      <c r="M18" s="3122">
        <v>0</v>
      </c>
      <c r="N18" s="2518">
        <v>0</v>
      </c>
      <c r="O18" s="2518">
        <f>+'[2]Městská policie'!$B$163</f>
        <v>0</v>
      </c>
      <c r="P18" s="2519">
        <f t="shared" si="0"/>
        <v>0</v>
      </c>
      <c r="Q18" s="2518"/>
      <c r="R18" s="2518"/>
      <c r="S18" s="2518"/>
      <c r="T18" s="2518"/>
      <c r="U18" s="2518"/>
      <c r="V18" s="2487"/>
      <c r="W18" s="2530"/>
    </row>
    <row r="19" spans="1:23" ht="13.9" outlineLevel="1" thickBot="1">
      <c r="A19" s="2533" t="s">
        <v>197</v>
      </c>
      <c r="B19" s="2515" t="s">
        <v>134</v>
      </c>
      <c r="C19" s="2534"/>
      <c r="D19" s="2535"/>
      <c r="E19" s="2535"/>
      <c r="F19" s="2536"/>
      <c r="G19" s="2535" t="s">
        <v>638</v>
      </c>
      <c r="H19" s="2535">
        <v>0</v>
      </c>
      <c r="I19" s="2535">
        <v>0</v>
      </c>
      <c r="J19" s="2535">
        <v>0</v>
      </c>
      <c r="K19" s="2535">
        <v>0</v>
      </c>
      <c r="L19" s="2535">
        <v>0</v>
      </c>
      <c r="M19" s="3124">
        <v>0</v>
      </c>
      <c r="N19" s="2537">
        <v>0</v>
      </c>
      <c r="O19" s="2537">
        <f>+'[2]Městská policie'!$B$164</f>
        <v>0</v>
      </c>
      <c r="P19" s="2538">
        <f t="shared" si="0"/>
        <v>0</v>
      </c>
      <c r="Q19" s="2537"/>
      <c r="R19" s="2537"/>
      <c r="S19" s="2537"/>
      <c r="T19" s="2537"/>
      <c r="U19" s="2537"/>
      <c r="V19" s="2487"/>
      <c r="W19" s="2530"/>
    </row>
    <row r="20" spans="1:23" ht="13.9" thickBot="1">
      <c r="A20" s="3276" t="s">
        <v>1213</v>
      </c>
      <c r="B20" s="3277" t="s">
        <v>134</v>
      </c>
      <c r="C20" s="2523"/>
      <c r="D20" s="2524"/>
      <c r="E20" s="2524"/>
      <c r="F20" s="2525"/>
      <c r="G20" s="2524"/>
      <c r="H20" s="2524">
        <v>600000</v>
      </c>
      <c r="I20" s="2524">
        <v>600000</v>
      </c>
      <c r="J20" s="2524">
        <v>600000</v>
      </c>
      <c r="K20" s="2524">
        <v>600000</v>
      </c>
      <c r="L20" s="2524">
        <v>600000</v>
      </c>
      <c r="M20" s="3123">
        <v>600000</v>
      </c>
      <c r="N20" s="2526">
        <v>600000</v>
      </c>
      <c r="O20" s="2526">
        <f>SUM(O16:O19)</f>
        <v>600000</v>
      </c>
      <c r="P20" s="2527">
        <f t="shared" si="0"/>
        <v>0</v>
      </c>
      <c r="Q20" s="2528"/>
      <c r="R20" s="2528">
        <f>SUM(R16:R19)</f>
        <v>0</v>
      </c>
      <c r="S20" s="2528"/>
      <c r="T20" s="2528"/>
      <c r="U20" s="2528"/>
      <c r="V20" s="2529">
        <f>'Výdaje kapitol celkem'!AB72</f>
        <v>600000</v>
      </c>
      <c r="W20" s="2530">
        <f>+V20-O20</f>
        <v>0</v>
      </c>
    </row>
    <row r="21" spans="1:23" ht="13.5" outlineLevel="1">
      <c r="A21" s="2531"/>
      <c r="B21" s="2515" t="s">
        <v>357</v>
      </c>
      <c r="C21" s="2507" t="s">
        <v>1768</v>
      </c>
      <c r="D21" s="2516"/>
      <c r="E21" s="2516"/>
      <c r="F21" s="2517"/>
      <c r="G21" s="2516" t="s">
        <v>638</v>
      </c>
      <c r="H21" s="2516"/>
      <c r="I21" s="2516"/>
      <c r="J21" s="2516"/>
      <c r="K21" s="2516"/>
      <c r="L21" s="2516"/>
      <c r="M21" s="3122"/>
      <c r="N21" s="2518"/>
      <c r="O21" s="2518"/>
      <c r="P21" s="2519">
        <f t="shared" si="0"/>
        <v>0</v>
      </c>
      <c r="Q21" s="2518"/>
      <c r="R21" s="2518"/>
      <c r="S21" s="2518"/>
      <c r="T21" s="2518"/>
      <c r="U21" s="2518"/>
      <c r="V21" s="2487"/>
      <c r="W21" s="2530"/>
    </row>
    <row r="22" spans="1:23" ht="13.5" outlineLevel="1">
      <c r="A22" s="2532"/>
      <c r="B22" s="2515" t="s">
        <v>357</v>
      </c>
      <c r="C22" s="2507" t="s">
        <v>2215</v>
      </c>
      <c r="D22" s="2516"/>
      <c r="E22" s="2516"/>
      <c r="F22" s="2517"/>
      <c r="G22" s="2516" t="s">
        <v>638</v>
      </c>
      <c r="H22" s="2516">
        <v>300000</v>
      </c>
      <c r="I22" s="2516">
        <v>300000</v>
      </c>
      <c r="J22" s="2516">
        <v>300000</v>
      </c>
      <c r="K22" s="2516">
        <v>300000</v>
      </c>
      <c r="L22" s="2516">
        <v>300000</v>
      </c>
      <c r="M22" s="3122">
        <v>300000</v>
      </c>
      <c r="N22" s="2518">
        <v>300000</v>
      </c>
      <c r="O22" s="2518">
        <f>+[3]Správa!$B$19+[2]Správa!$B$139</f>
        <v>0</v>
      </c>
      <c r="P22" s="2519">
        <f t="shared" si="0"/>
        <v>-300000</v>
      </c>
      <c r="Q22" s="2518"/>
      <c r="R22" s="2518"/>
      <c r="S22" s="2518"/>
      <c r="T22" s="2518"/>
      <c r="U22" s="2518"/>
      <c r="V22" s="2487"/>
      <c r="W22" s="2530"/>
    </row>
    <row r="23" spans="1:23" ht="13.5" outlineLevel="1">
      <c r="A23" s="2532"/>
      <c r="B23" s="2515" t="s">
        <v>357</v>
      </c>
      <c r="C23" s="2507" t="s">
        <v>2216</v>
      </c>
      <c r="D23" s="2516"/>
      <c r="E23" s="2516"/>
      <c r="F23" s="2517"/>
      <c r="G23" s="2516" t="s">
        <v>638</v>
      </c>
      <c r="H23" s="2516">
        <v>300000</v>
      </c>
      <c r="I23" s="2516">
        <v>300000</v>
      </c>
      <c r="J23" s="2516">
        <v>300000</v>
      </c>
      <c r="K23" s="2516">
        <v>300000</v>
      </c>
      <c r="L23" s="2516">
        <v>300000</v>
      </c>
      <c r="M23" s="3122">
        <v>300000</v>
      </c>
      <c r="N23" s="2518">
        <v>300000</v>
      </c>
      <c r="O23" s="2518">
        <f>+[3]Správa!$B$20+[2]Správa!$B$140</f>
        <v>0</v>
      </c>
      <c r="P23" s="2519">
        <f t="shared" si="0"/>
        <v>-300000</v>
      </c>
      <c r="Q23" s="2518"/>
      <c r="R23" s="2518"/>
      <c r="S23" s="2518"/>
      <c r="T23" s="2518"/>
      <c r="U23" s="2518"/>
      <c r="V23" s="2487"/>
      <c r="W23" s="2530"/>
    </row>
    <row r="24" spans="1:23" ht="13.5" outlineLevel="1">
      <c r="A24" s="2532"/>
      <c r="B24" s="2515" t="s">
        <v>357</v>
      </c>
      <c r="C24" s="2507" t="s">
        <v>2982</v>
      </c>
      <c r="D24" s="2516"/>
      <c r="E24" s="2516"/>
      <c r="F24" s="2517"/>
      <c r="G24" s="2516" t="s">
        <v>638</v>
      </c>
      <c r="H24" s="2516">
        <v>140000</v>
      </c>
      <c r="I24" s="2516">
        <v>140000</v>
      </c>
      <c r="J24" s="2516">
        <v>140000</v>
      </c>
      <c r="K24" s="2516">
        <v>140000</v>
      </c>
      <c r="L24" s="2516">
        <v>140000</v>
      </c>
      <c r="M24" s="3122">
        <v>140000</v>
      </c>
      <c r="N24" s="2518">
        <v>140000</v>
      </c>
      <c r="O24" s="2518">
        <f>+[2]Správa!$B$146</f>
        <v>140000</v>
      </c>
      <c r="P24" s="2519">
        <f>+O24-N24</f>
        <v>0</v>
      </c>
      <c r="Q24" s="2518"/>
      <c r="R24" s="2518"/>
      <c r="S24" s="2518"/>
      <c r="T24" s="2518"/>
      <c r="U24" s="2518"/>
      <c r="V24" s="2487"/>
      <c r="W24" s="2530"/>
    </row>
    <row r="25" spans="1:23" ht="13.5" outlineLevel="1">
      <c r="A25" s="2532"/>
      <c r="B25" s="2515" t="s">
        <v>357</v>
      </c>
      <c r="C25" s="2507" t="s">
        <v>2550</v>
      </c>
      <c r="D25" s="2516"/>
      <c r="E25" s="2516"/>
      <c r="F25" s="2517"/>
      <c r="G25" s="2516" t="s">
        <v>638</v>
      </c>
      <c r="H25" s="2516">
        <v>150000</v>
      </c>
      <c r="I25" s="2516">
        <v>150000</v>
      </c>
      <c r="J25" s="2516">
        <v>150000</v>
      </c>
      <c r="K25" s="2516">
        <v>150000</v>
      </c>
      <c r="L25" s="2516">
        <v>150000</v>
      </c>
      <c r="M25" s="3122">
        <v>150000</v>
      </c>
      <c r="N25" s="2518">
        <v>150000</v>
      </c>
      <c r="O25" s="2518">
        <f>+[2]Správa!$B$147</f>
        <v>150000</v>
      </c>
      <c r="P25" s="2519">
        <f t="shared" si="0"/>
        <v>0</v>
      </c>
      <c r="Q25" s="2518"/>
      <c r="R25" s="2518"/>
      <c r="S25" s="2518"/>
      <c r="T25" s="2518"/>
      <c r="U25" s="2518"/>
      <c r="V25" s="2487"/>
      <c r="W25" s="2530"/>
    </row>
    <row r="26" spans="1:23" s="2546" customFormat="1" ht="13.5" hidden="1" outlineLevel="1">
      <c r="A26" s="2532"/>
      <c r="B26" s="2539" t="s">
        <v>357</v>
      </c>
      <c r="C26" s="2540" t="s">
        <v>2181</v>
      </c>
      <c r="D26" s="2541"/>
      <c r="E26" s="2541"/>
      <c r="F26" s="2542"/>
      <c r="G26" s="2541" t="s">
        <v>638</v>
      </c>
      <c r="H26" s="2541"/>
      <c r="I26" s="2541"/>
      <c r="J26" s="2541"/>
      <c r="K26" s="2541"/>
      <c r="L26" s="2541"/>
      <c r="M26" s="3125"/>
      <c r="N26" s="2543"/>
      <c r="O26" s="2543"/>
      <c r="P26" s="2544">
        <f t="shared" si="0"/>
        <v>0</v>
      </c>
      <c r="Q26" s="2543"/>
      <c r="R26" s="2543"/>
      <c r="S26" s="2543"/>
      <c r="T26" s="2543"/>
      <c r="U26" s="2543"/>
      <c r="V26" s="2545"/>
      <c r="W26" s="2530"/>
    </row>
    <row r="27" spans="1:23" s="2546" customFormat="1" ht="13.5" outlineLevel="1">
      <c r="A27" s="2532"/>
      <c r="B27" s="2539" t="s">
        <v>357</v>
      </c>
      <c r="C27" s="2540" t="s">
        <v>2551</v>
      </c>
      <c r="D27" s="2541"/>
      <c r="E27" s="2541"/>
      <c r="F27" s="2542"/>
      <c r="G27" s="2541" t="s">
        <v>638</v>
      </c>
      <c r="H27" s="2541">
        <v>7716032</v>
      </c>
      <c r="I27" s="2541">
        <v>7716032</v>
      </c>
      <c r="J27" s="2541">
        <v>7716032</v>
      </c>
      <c r="K27" s="2541">
        <v>7716032</v>
      </c>
      <c r="L27" s="2541">
        <v>7716032</v>
      </c>
      <c r="M27" s="3125">
        <v>7716032</v>
      </c>
      <c r="N27" s="2543">
        <v>7716032</v>
      </c>
      <c r="O27" s="2543">
        <f>+[2]Správa!$B$148+[2]Správa!$B$154</f>
        <v>4040000</v>
      </c>
      <c r="P27" s="2544">
        <f t="shared" si="0"/>
        <v>-3676032</v>
      </c>
      <c r="Q27" s="2543"/>
      <c r="R27" s="2543"/>
      <c r="S27" s="2543"/>
      <c r="T27" s="2543"/>
      <c r="U27" s="2543"/>
      <c r="V27" s="2545"/>
      <c r="W27" s="2530"/>
    </row>
    <row r="28" spans="1:23" s="2546" customFormat="1" ht="13.5" outlineLevel="1">
      <c r="A28" s="2532"/>
      <c r="B28" s="2539" t="s">
        <v>357</v>
      </c>
      <c r="C28" s="2540" t="s">
        <v>2859</v>
      </c>
      <c r="D28" s="2541"/>
      <c r="E28" s="2541"/>
      <c r="F28" s="2542"/>
      <c r="G28" s="2541"/>
      <c r="H28" s="2541"/>
      <c r="I28" s="2541"/>
      <c r="J28" s="2541"/>
      <c r="K28" s="2541"/>
      <c r="L28" s="2541"/>
      <c r="M28" s="3125"/>
      <c r="N28" s="2543">
        <v>70000</v>
      </c>
      <c r="O28" s="2543">
        <f>+[2]Správa!$B$161</f>
        <v>70000</v>
      </c>
      <c r="P28" s="2544">
        <f t="shared" si="0"/>
        <v>0</v>
      </c>
      <c r="Q28" s="2543"/>
      <c r="R28" s="2543"/>
      <c r="S28" s="2543"/>
      <c r="T28" s="2543"/>
      <c r="U28" s="2543"/>
      <c r="V28" s="2545"/>
      <c r="W28" s="2530"/>
    </row>
    <row r="29" spans="1:23" ht="13.9" outlineLevel="1" thickBot="1">
      <c r="A29" s="2547">
        <v>6171</v>
      </c>
      <c r="B29" s="2548" t="s">
        <v>357</v>
      </c>
      <c r="C29" s="2549" t="s">
        <v>2860</v>
      </c>
      <c r="D29" s="2550"/>
      <c r="E29" s="2550"/>
      <c r="F29" s="2551"/>
      <c r="G29" s="2541" t="s">
        <v>638</v>
      </c>
      <c r="H29" s="2541">
        <v>0</v>
      </c>
      <c r="I29" s="2541">
        <v>0</v>
      </c>
      <c r="J29" s="2541">
        <v>0</v>
      </c>
      <c r="K29" s="2541">
        <v>0</v>
      </c>
      <c r="L29" s="2541">
        <v>0</v>
      </c>
      <c r="M29" s="3125">
        <v>0</v>
      </c>
      <c r="N29" s="2552">
        <v>160000</v>
      </c>
      <c r="O29" s="2552">
        <f>+[2]Správa!$B$162</f>
        <v>62000</v>
      </c>
      <c r="P29" s="2544">
        <f t="shared" si="0"/>
        <v>-98000</v>
      </c>
      <c r="Q29" s="2552"/>
      <c r="R29" s="2552"/>
      <c r="S29" s="2552"/>
      <c r="T29" s="2552"/>
      <c r="U29" s="2552"/>
      <c r="V29" s="2487"/>
      <c r="W29" s="2530"/>
    </row>
    <row r="30" spans="1:23" ht="13.9" thickBot="1">
      <c r="A30" s="3276" t="s">
        <v>1937</v>
      </c>
      <c r="B30" s="3277" t="s">
        <v>357</v>
      </c>
      <c r="C30" s="2523"/>
      <c r="D30" s="2524"/>
      <c r="E30" s="2524"/>
      <c r="F30" s="2525"/>
      <c r="G30" s="2524"/>
      <c r="H30" s="2524">
        <v>8606032</v>
      </c>
      <c r="I30" s="2524">
        <v>8606032</v>
      </c>
      <c r="J30" s="2524">
        <v>8606032</v>
      </c>
      <c r="K30" s="2524">
        <v>8606032</v>
      </c>
      <c r="L30" s="2524">
        <v>8606032</v>
      </c>
      <c r="M30" s="3123">
        <v>8606032</v>
      </c>
      <c r="N30" s="2526">
        <v>8836032</v>
      </c>
      <c r="O30" s="2526">
        <f>SUM(O21:O29)</f>
        <v>4462000</v>
      </c>
      <c r="P30" s="2527">
        <f t="shared" si="0"/>
        <v>-4374032</v>
      </c>
      <c r="Q30" s="2528"/>
      <c r="R30" s="2528">
        <f>SUM(R21:R29)</f>
        <v>0</v>
      </c>
      <c r="S30" s="2528"/>
      <c r="T30" s="2528"/>
      <c r="U30" s="2528"/>
      <c r="V30" s="2529">
        <f>'Výdaje kapitol celkem'!T72</f>
        <v>4462000</v>
      </c>
      <c r="W30" s="2530">
        <f>+V30-O30</f>
        <v>0</v>
      </c>
    </row>
    <row r="31" spans="1:23" ht="13.5" outlineLevel="1">
      <c r="A31" s="2531"/>
      <c r="B31" s="2515"/>
      <c r="C31" s="2507" t="s">
        <v>2788</v>
      </c>
      <c r="D31" s="2516"/>
      <c r="E31" s="2516"/>
      <c r="F31" s="2517"/>
      <c r="G31" s="2516" t="s">
        <v>638</v>
      </c>
      <c r="H31" s="2516">
        <v>600000</v>
      </c>
      <c r="I31" s="2516">
        <v>600000</v>
      </c>
      <c r="J31" s="2516">
        <v>600000</v>
      </c>
      <c r="K31" s="2516">
        <v>600000</v>
      </c>
      <c r="L31" s="2516">
        <v>600000</v>
      </c>
      <c r="M31" s="3122">
        <v>600000</v>
      </c>
      <c r="N31" s="2518">
        <v>600000</v>
      </c>
      <c r="O31" s="2518">
        <f>+'[3]Participativní rozpočet'!$B$118</f>
        <v>600000</v>
      </c>
      <c r="P31" s="2519">
        <f t="shared" si="0"/>
        <v>0</v>
      </c>
      <c r="Q31" s="2519"/>
      <c r="R31" s="2519"/>
      <c r="S31" s="2519"/>
      <c r="T31" s="2519"/>
      <c r="U31" s="2519"/>
      <c r="V31" s="2487"/>
      <c r="W31" s="2530"/>
    </row>
    <row r="32" spans="1:23" ht="13.9" outlineLevel="1" thickBot="1">
      <c r="A32" s="2532" t="s">
        <v>1935</v>
      </c>
      <c r="B32" s="2553"/>
      <c r="C32" s="2554" t="s">
        <v>2164</v>
      </c>
      <c r="D32" s="2555"/>
      <c r="E32" s="2555"/>
      <c r="F32" s="2556"/>
      <c r="G32" s="2555" t="s">
        <v>638</v>
      </c>
      <c r="H32" s="2555">
        <v>0</v>
      </c>
      <c r="I32" s="2555">
        <v>0</v>
      </c>
      <c r="J32" s="2555">
        <v>0</v>
      </c>
      <c r="K32" s="2555">
        <v>0</v>
      </c>
      <c r="L32" s="2555">
        <v>0</v>
      </c>
      <c r="M32" s="2695">
        <v>0</v>
      </c>
      <c r="N32" s="2557">
        <v>0</v>
      </c>
      <c r="O32" s="2557">
        <f>+'[3]Participativní rozpočet'!$B$119</f>
        <v>0</v>
      </c>
      <c r="P32" s="2558">
        <f t="shared" si="0"/>
        <v>0</v>
      </c>
      <c r="Q32" s="2557"/>
      <c r="R32" s="2557"/>
      <c r="S32" s="2557"/>
      <c r="T32" s="2557"/>
      <c r="U32" s="2557"/>
      <c r="V32" s="2487"/>
      <c r="W32" s="2530"/>
    </row>
    <row r="33" spans="1:23" ht="13.9" thickBot="1">
      <c r="A33" s="3276" t="s">
        <v>1938</v>
      </c>
      <c r="B33" s="3277" t="s">
        <v>191</v>
      </c>
      <c r="C33" s="2523"/>
      <c r="D33" s="2524"/>
      <c r="E33" s="2524"/>
      <c r="F33" s="2525"/>
      <c r="G33" s="2524"/>
      <c r="H33" s="2524">
        <v>600000</v>
      </c>
      <c r="I33" s="2524">
        <v>600000</v>
      </c>
      <c r="J33" s="2524">
        <v>600000</v>
      </c>
      <c r="K33" s="2524">
        <v>600000</v>
      </c>
      <c r="L33" s="2524">
        <v>600000</v>
      </c>
      <c r="M33" s="3123">
        <v>600000</v>
      </c>
      <c r="N33" s="2526">
        <v>600000</v>
      </c>
      <c r="O33" s="2526">
        <f>SUM(O31:O32)</f>
        <v>600000</v>
      </c>
      <c r="P33" s="2527">
        <f t="shared" si="0"/>
        <v>0</v>
      </c>
      <c r="Q33" s="2528"/>
      <c r="R33" s="2528">
        <f t="shared" ref="R33" si="1">SUM(R31:R32)</f>
        <v>0</v>
      </c>
      <c r="S33" s="2528"/>
      <c r="T33" s="2528"/>
      <c r="U33" s="2528"/>
      <c r="V33" s="2529">
        <f>'Výdaje kapitol celkem'!Q72</f>
        <v>600000</v>
      </c>
      <c r="W33" s="2530">
        <f>+V33-O33</f>
        <v>0</v>
      </c>
    </row>
    <row r="34" spans="1:23" ht="13.5" outlineLevel="1">
      <c r="A34" s="2531"/>
      <c r="B34" s="2515" t="s">
        <v>1240</v>
      </c>
      <c r="C34" s="2507" t="s">
        <v>2583</v>
      </c>
      <c r="D34" s="2516"/>
      <c r="E34" s="2516"/>
      <c r="F34" s="2517"/>
      <c r="G34" s="2516" t="s">
        <v>638</v>
      </c>
      <c r="H34" s="2516">
        <v>1100000</v>
      </c>
      <c r="I34" s="2516">
        <v>1100000</v>
      </c>
      <c r="J34" s="2516">
        <v>1100000</v>
      </c>
      <c r="K34" s="2516">
        <v>1100000</v>
      </c>
      <c r="L34" s="2516">
        <v>1100000</v>
      </c>
      <c r="M34" s="3122">
        <v>1100000</v>
      </c>
      <c r="N34" s="2518">
        <v>1100000</v>
      </c>
      <c r="O34" s="2518">
        <f>+'[4]Hotel Budka'!$B$9</f>
        <v>0</v>
      </c>
      <c r="P34" s="2519">
        <f t="shared" si="0"/>
        <v>-1100000</v>
      </c>
      <c r="Q34" s="2519"/>
      <c r="R34" s="2519"/>
      <c r="S34" s="2519"/>
      <c r="T34" s="2519"/>
      <c r="U34" s="2519"/>
      <c r="V34" s="2487"/>
      <c r="W34" s="2530"/>
    </row>
    <row r="35" spans="1:23" ht="13.9" outlineLevel="1" thickBot="1">
      <c r="A35" s="2532" t="s">
        <v>1241</v>
      </c>
      <c r="B35" s="2553" t="s">
        <v>1240</v>
      </c>
      <c r="C35" s="2554" t="s">
        <v>1581</v>
      </c>
      <c r="D35" s="2555"/>
      <c r="E35" s="2555"/>
      <c r="F35" s="2556"/>
      <c r="G35" s="2555" t="s">
        <v>638</v>
      </c>
      <c r="H35" s="2555">
        <v>0</v>
      </c>
      <c r="I35" s="2555">
        <v>0</v>
      </c>
      <c r="J35" s="2555">
        <v>0</v>
      </c>
      <c r="K35" s="2555">
        <v>0</v>
      </c>
      <c r="L35" s="2555">
        <v>0</v>
      </c>
      <c r="M35" s="2695">
        <v>0</v>
      </c>
      <c r="N35" s="2557">
        <v>0</v>
      </c>
      <c r="O35" s="2557">
        <f>+'[4]Hotel Budka'!$B$8</f>
        <v>0</v>
      </c>
      <c r="P35" s="2558">
        <f t="shared" si="0"/>
        <v>0</v>
      </c>
      <c r="Q35" s="2557"/>
      <c r="R35" s="2557"/>
      <c r="S35" s="2557"/>
      <c r="T35" s="2557"/>
      <c r="U35" s="2557"/>
      <c r="V35" s="2487"/>
      <c r="W35" s="2530"/>
    </row>
    <row r="36" spans="1:23" ht="13.9" thickBot="1">
      <c r="A36" s="3276" t="s">
        <v>1430</v>
      </c>
      <c r="B36" s="3277" t="s">
        <v>191</v>
      </c>
      <c r="C36" s="2523"/>
      <c r="D36" s="2524"/>
      <c r="E36" s="2524"/>
      <c r="F36" s="2525"/>
      <c r="G36" s="2524"/>
      <c r="H36" s="2524">
        <v>1100000</v>
      </c>
      <c r="I36" s="2524">
        <v>1100000</v>
      </c>
      <c r="J36" s="2524">
        <v>1100000</v>
      </c>
      <c r="K36" s="2524">
        <v>1100000</v>
      </c>
      <c r="L36" s="2524">
        <v>1100000</v>
      </c>
      <c r="M36" s="3123">
        <v>1100000</v>
      </c>
      <c r="N36" s="2526">
        <v>1100000</v>
      </c>
      <c r="O36" s="2526">
        <f>SUM(O34:O35)</f>
        <v>0</v>
      </c>
      <c r="P36" s="2527">
        <f t="shared" si="0"/>
        <v>-1100000</v>
      </c>
      <c r="Q36" s="2528"/>
      <c r="R36" s="2528">
        <f t="shared" ref="R36" si="2">SUM(R34:R35)</f>
        <v>0</v>
      </c>
      <c r="S36" s="2528"/>
      <c r="T36" s="2528"/>
      <c r="U36" s="2528"/>
      <c r="V36" s="2529">
        <f>'Výdaje kapitol celkem'!AD72</f>
        <v>0</v>
      </c>
      <c r="W36" s="2530">
        <f>+V36-O36</f>
        <v>0</v>
      </c>
    </row>
    <row r="37" spans="1:23" ht="13.5" outlineLevel="1">
      <c r="A37" s="2531"/>
      <c r="B37" s="2515" t="s">
        <v>191</v>
      </c>
      <c r="C37" s="2507" t="s">
        <v>1632</v>
      </c>
      <c r="D37" s="2516"/>
      <c r="E37" s="2516"/>
      <c r="F37" s="2517"/>
      <c r="G37" s="2516" t="s">
        <v>638</v>
      </c>
      <c r="H37" s="2516">
        <v>30000</v>
      </c>
      <c r="I37" s="2516">
        <v>30000</v>
      </c>
      <c r="J37" s="2516">
        <v>30000</v>
      </c>
      <c r="K37" s="2516">
        <v>30000</v>
      </c>
      <c r="L37" s="2516">
        <v>30000</v>
      </c>
      <c r="M37" s="3122">
        <v>30000</v>
      </c>
      <c r="N37" s="2518">
        <v>30000</v>
      </c>
      <c r="O37" s="2518">
        <f>+[3]Knihovna!$B$34</f>
        <v>0</v>
      </c>
      <c r="P37" s="2519">
        <f t="shared" si="0"/>
        <v>-30000</v>
      </c>
      <c r="Q37" s="2518"/>
      <c r="R37" s="2518"/>
      <c r="S37" s="2518"/>
      <c r="T37" s="2518"/>
      <c r="U37" s="2518"/>
      <c r="V37" s="2487"/>
      <c r="W37" s="2530"/>
    </row>
    <row r="38" spans="1:23" ht="13.5" outlineLevel="1">
      <c r="A38" s="2532"/>
      <c r="B38" s="2559" t="s">
        <v>191</v>
      </c>
      <c r="C38" s="2560" t="s">
        <v>2275</v>
      </c>
      <c r="D38" s="2561"/>
      <c r="E38" s="2561"/>
      <c r="F38" s="2562"/>
      <c r="G38" s="2561" t="s">
        <v>638</v>
      </c>
      <c r="H38" s="2561">
        <v>250000</v>
      </c>
      <c r="I38" s="2561">
        <v>250000</v>
      </c>
      <c r="J38" s="2561">
        <v>250000</v>
      </c>
      <c r="K38" s="2561">
        <v>250000</v>
      </c>
      <c r="L38" s="2561">
        <v>250000</v>
      </c>
      <c r="M38" s="2694">
        <v>250000</v>
      </c>
      <c r="N38" s="2563">
        <v>250000</v>
      </c>
      <c r="O38" s="2563">
        <f>+[3]Knihovna!$B$35</f>
        <v>250000</v>
      </c>
      <c r="P38" s="2519">
        <f t="shared" si="0"/>
        <v>0</v>
      </c>
      <c r="Q38" s="2563"/>
      <c r="R38" s="2563"/>
      <c r="S38" s="2563"/>
      <c r="T38" s="2563"/>
      <c r="U38" s="2563"/>
      <c r="V38" s="2487"/>
      <c r="W38" s="2530"/>
    </row>
    <row r="39" spans="1:23" ht="13.9" outlineLevel="1" thickBot="1">
      <c r="A39" s="2532">
        <v>3314</v>
      </c>
      <c r="B39" s="2553" t="s">
        <v>191</v>
      </c>
      <c r="C39" s="2554" t="s">
        <v>2276</v>
      </c>
      <c r="D39" s="2555"/>
      <c r="E39" s="2555"/>
      <c r="F39" s="2556"/>
      <c r="G39" s="2555" t="s">
        <v>638</v>
      </c>
      <c r="H39" s="2555">
        <v>0</v>
      </c>
      <c r="I39" s="2555">
        <v>0</v>
      </c>
      <c r="J39" s="2555">
        <v>0</v>
      </c>
      <c r="K39" s="2555">
        <v>0</v>
      </c>
      <c r="L39" s="2555">
        <v>0</v>
      </c>
      <c r="M39" s="2695">
        <v>0</v>
      </c>
      <c r="N39" s="2557">
        <v>0</v>
      </c>
      <c r="O39" s="2557">
        <f>+[3]Knihovna!$B$36</f>
        <v>0</v>
      </c>
      <c r="P39" s="2558">
        <f t="shared" si="0"/>
        <v>0</v>
      </c>
      <c r="Q39" s="2557"/>
      <c r="R39" s="2557"/>
      <c r="S39" s="2557"/>
      <c r="T39" s="2557"/>
      <c r="U39" s="2557"/>
      <c r="V39" s="2487"/>
      <c r="W39" s="2530"/>
    </row>
    <row r="40" spans="1:23" ht="13.9" thickBot="1">
      <c r="A40" s="3276" t="s">
        <v>1908</v>
      </c>
      <c r="B40" s="3277" t="s">
        <v>191</v>
      </c>
      <c r="C40" s="2523"/>
      <c r="D40" s="2524"/>
      <c r="E40" s="2524"/>
      <c r="F40" s="2525"/>
      <c r="G40" s="2524"/>
      <c r="H40" s="2524">
        <v>280000</v>
      </c>
      <c r="I40" s="2524">
        <v>280000</v>
      </c>
      <c r="J40" s="2524">
        <v>280000</v>
      </c>
      <c r="K40" s="2524">
        <v>280000</v>
      </c>
      <c r="L40" s="2524">
        <v>280000</v>
      </c>
      <c r="M40" s="3123">
        <v>280000</v>
      </c>
      <c r="N40" s="2526">
        <v>280000</v>
      </c>
      <c r="O40" s="2526">
        <f>SUM(O37:O39)</f>
        <v>250000</v>
      </c>
      <c r="P40" s="2527">
        <f t="shared" si="0"/>
        <v>-30000</v>
      </c>
      <c r="Q40" s="2528"/>
      <c r="R40" s="2528">
        <f t="shared" ref="R40" si="3">SUM(R37:R39)</f>
        <v>0</v>
      </c>
      <c r="S40" s="2528"/>
      <c r="T40" s="2528"/>
      <c r="U40" s="2528"/>
      <c r="V40" s="2529">
        <f>'Výdaje kapitol celkem'!AF72</f>
        <v>250000</v>
      </c>
      <c r="W40" s="2530">
        <f>+V40-O40</f>
        <v>0</v>
      </c>
    </row>
    <row r="41" spans="1:23" s="2571" customFormat="1" ht="13.5" outlineLevel="1">
      <c r="A41" s="2564"/>
      <c r="B41" s="2559" t="s">
        <v>138</v>
      </c>
      <c r="C41" s="2565" t="s">
        <v>2574</v>
      </c>
      <c r="D41" s="2566"/>
      <c r="E41" s="2566"/>
      <c r="F41" s="2567"/>
      <c r="G41" s="2566" t="s">
        <v>638</v>
      </c>
      <c r="H41" s="2566">
        <v>1000000</v>
      </c>
      <c r="I41" s="2566">
        <v>1000000</v>
      </c>
      <c r="J41" s="2566">
        <v>1000000</v>
      </c>
      <c r="K41" s="2566">
        <v>1000000</v>
      </c>
      <c r="L41" s="2566">
        <v>1000000</v>
      </c>
      <c r="M41" s="3126">
        <v>1000000</v>
      </c>
      <c r="N41" s="2568">
        <v>0</v>
      </c>
      <c r="O41" s="2568">
        <f>+[4]Byty!$B$8</f>
        <v>0</v>
      </c>
      <c r="P41" s="2569">
        <f t="shared" si="0"/>
        <v>0</v>
      </c>
      <c r="Q41" s="2570"/>
      <c r="R41" s="2570"/>
      <c r="S41" s="2570"/>
      <c r="T41" s="2570"/>
      <c r="U41" s="2570"/>
      <c r="V41" s="2487"/>
      <c r="W41" s="2530"/>
    </row>
    <row r="42" spans="1:23" s="2571" customFormat="1" ht="13.5" outlineLevel="1">
      <c r="A42" s="2564"/>
      <c r="B42" s="2515" t="s">
        <v>138</v>
      </c>
      <c r="C42" s="2565" t="s">
        <v>1579</v>
      </c>
      <c r="D42" s="2566"/>
      <c r="E42" s="2566"/>
      <c r="F42" s="2567"/>
      <c r="G42" s="2566" t="s">
        <v>638</v>
      </c>
      <c r="H42" s="2566">
        <v>100000</v>
      </c>
      <c r="I42" s="2566">
        <v>100000</v>
      </c>
      <c r="J42" s="2566">
        <v>100000</v>
      </c>
      <c r="K42" s="2566">
        <v>100000</v>
      </c>
      <c r="L42" s="2566">
        <v>100000</v>
      </c>
      <c r="M42" s="3126">
        <v>100000</v>
      </c>
      <c r="N42" s="2570">
        <v>100000</v>
      </c>
      <c r="O42" s="2570">
        <f>+[4]Byty!$B$9</f>
        <v>0</v>
      </c>
      <c r="P42" s="2569">
        <f t="shared" si="0"/>
        <v>-100000</v>
      </c>
      <c r="Q42" s="2570"/>
      <c r="R42" s="2570"/>
      <c r="S42" s="2570"/>
      <c r="T42" s="2570"/>
      <c r="U42" s="2570"/>
      <c r="V42" s="2486"/>
      <c r="W42" s="2530"/>
    </row>
    <row r="43" spans="1:23" s="2571" customFormat="1" ht="13.5" outlineLevel="1">
      <c r="A43" s="2564"/>
      <c r="B43" s="2515"/>
      <c r="C43" s="2565"/>
      <c r="D43" s="2566"/>
      <c r="E43" s="2566"/>
      <c r="F43" s="2567"/>
      <c r="G43" s="2566"/>
      <c r="H43" s="2566"/>
      <c r="I43" s="2566"/>
      <c r="J43" s="2566"/>
      <c r="K43" s="2566"/>
      <c r="L43" s="2566"/>
      <c r="M43" s="3126"/>
      <c r="N43" s="2570"/>
      <c r="O43" s="2570">
        <f>+[3]Byty!$B$45</f>
        <v>105000</v>
      </c>
      <c r="P43" s="2569"/>
      <c r="Q43" s="2570"/>
      <c r="R43" s="2570"/>
      <c r="S43" s="2570"/>
      <c r="T43" s="2570"/>
      <c r="U43" s="2570"/>
      <c r="V43" s="2486"/>
      <c r="W43" s="2530"/>
    </row>
    <row r="44" spans="1:23" s="2571" customFormat="1" ht="26.65" outlineLevel="1">
      <c r="A44" s="2564"/>
      <c r="B44" s="2515" t="s">
        <v>138</v>
      </c>
      <c r="C44" s="2565" t="s">
        <v>1578</v>
      </c>
      <c r="D44" s="2566"/>
      <c r="E44" s="2566"/>
      <c r="F44" s="2567"/>
      <c r="G44" s="2566" t="s">
        <v>638</v>
      </c>
      <c r="H44" s="2566">
        <v>2400000</v>
      </c>
      <c r="I44" s="2566">
        <v>2400000</v>
      </c>
      <c r="J44" s="2566">
        <v>2400000</v>
      </c>
      <c r="K44" s="2566">
        <v>2400000</v>
      </c>
      <c r="L44" s="2566">
        <v>2400000</v>
      </c>
      <c r="M44" s="3126">
        <v>2400000</v>
      </c>
      <c r="N44" s="2570">
        <v>2400000</v>
      </c>
      <c r="O44" s="2570">
        <f>+[4]Byty!$B$25</f>
        <v>2000000</v>
      </c>
      <c r="P44" s="2569">
        <f t="shared" si="0"/>
        <v>-400000</v>
      </c>
      <c r="Q44" s="2570"/>
      <c r="R44" s="2570"/>
      <c r="S44" s="2570"/>
      <c r="T44" s="2570"/>
      <c r="U44" s="2563"/>
      <c r="V44" s="2486"/>
      <c r="W44" s="2530"/>
    </row>
    <row r="45" spans="1:23" s="2571" customFormat="1" ht="13.5" outlineLevel="1">
      <c r="A45" s="2564"/>
      <c r="B45" s="2515" t="s">
        <v>138</v>
      </c>
      <c r="C45" s="2565" t="s">
        <v>2163</v>
      </c>
      <c r="D45" s="2566"/>
      <c r="E45" s="2566"/>
      <c r="F45" s="2567"/>
      <c r="G45" s="2566" t="s">
        <v>638</v>
      </c>
      <c r="H45" s="2566">
        <v>0</v>
      </c>
      <c r="I45" s="2566">
        <v>0</v>
      </c>
      <c r="J45" s="2566">
        <v>0</v>
      </c>
      <c r="K45" s="2566">
        <v>0</v>
      </c>
      <c r="L45" s="2566">
        <v>0</v>
      </c>
      <c r="M45" s="3126">
        <v>0</v>
      </c>
      <c r="N45" s="2570">
        <v>0</v>
      </c>
      <c r="O45" s="2570">
        <f>+[4]Byty!$B$26</f>
        <v>0</v>
      </c>
      <c r="P45" s="2569">
        <f t="shared" si="0"/>
        <v>0</v>
      </c>
      <c r="Q45" s="2570"/>
      <c r="R45" s="2570"/>
      <c r="S45" s="2570"/>
      <c r="T45" s="2570"/>
      <c r="U45" s="2570"/>
      <c r="V45" s="2486"/>
      <c r="W45" s="2530"/>
    </row>
    <row r="46" spans="1:23" s="2571" customFormat="1" ht="13.9" outlineLevel="1" thickBot="1">
      <c r="A46" s="2532">
        <v>3612</v>
      </c>
      <c r="B46" s="2559" t="s">
        <v>138</v>
      </c>
      <c r="C46" s="2572" t="s">
        <v>2790</v>
      </c>
      <c r="D46" s="2573"/>
      <c r="E46" s="2573"/>
      <c r="F46" s="2574"/>
      <c r="G46" s="2573" t="s">
        <v>638</v>
      </c>
      <c r="H46" s="2573"/>
      <c r="I46" s="2573"/>
      <c r="J46" s="2573"/>
      <c r="K46" s="2573">
        <v>5800000</v>
      </c>
      <c r="L46" s="2573">
        <v>5800000</v>
      </c>
      <c r="M46" s="3127">
        <v>5800000</v>
      </c>
      <c r="N46" s="2575">
        <v>5800000</v>
      </c>
      <c r="O46" s="2575">
        <f>+[4]Byty!$B$43</f>
        <v>0</v>
      </c>
      <c r="P46" s="2576">
        <f t="shared" si="0"/>
        <v>-5800000</v>
      </c>
      <c r="Q46" s="2575"/>
      <c r="R46" s="2575"/>
      <c r="S46" s="2575"/>
      <c r="T46" s="2575"/>
      <c r="U46" s="2575"/>
      <c r="V46" s="2486"/>
      <c r="W46" s="2530"/>
    </row>
    <row r="47" spans="1:23" ht="13.9" thickBot="1">
      <c r="A47" s="3276" t="s">
        <v>623</v>
      </c>
      <c r="B47" s="3277"/>
      <c r="C47" s="2523"/>
      <c r="D47" s="2524"/>
      <c r="E47" s="2524"/>
      <c r="F47" s="2525"/>
      <c r="G47" s="2524"/>
      <c r="H47" s="2524">
        <v>3500000</v>
      </c>
      <c r="I47" s="2524">
        <v>3500000</v>
      </c>
      <c r="J47" s="2524">
        <v>3500000</v>
      </c>
      <c r="K47" s="2524">
        <v>9300000</v>
      </c>
      <c r="L47" s="2524">
        <v>9300000</v>
      </c>
      <c r="M47" s="3123">
        <v>9300000</v>
      </c>
      <c r="N47" s="2526">
        <v>8300000</v>
      </c>
      <c r="O47" s="2526">
        <f>SUM(O41:O46)</f>
        <v>2105000</v>
      </c>
      <c r="P47" s="2527">
        <f t="shared" si="0"/>
        <v>-6195000</v>
      </c>
      <c r="Q47" s="2528"/>
      <c r="R47" s="2528">
        <f>SUM(R41:R46)</f>
        <v>0</v>
      </c>
      <c r="S47" s="2528"/>
      <c r="T47" s="2528"/>
      <c r="U47" s="2528"/>
      <c r="V47" s="2529">
        <f>'Výdaje kapitol celkem'!AI72</f>
        <v>2105000</v>
      </c>
      <c r="W47" s="2530">
        <f>+V47-O47</f>
        <v>0</v>
      </c>
    </row>
    <row r="48" spans="1:23" s="2571" customFormat="1" ht="13.5" hidden="1" outlineLevel="1">
      <c r="A48" s="2564"/>
      <c r="B48" s="2515" t="s">
        <v>140</v>
      </c>
      <c r="C48" s="2565" t="s">
        <v>1584</v>
      </c>
      <c r="D48" s="2566"/>
      <c r="E48" s="2566"/>
      <c r="F48" s="2567"/>
      <c r="G48" s="2566" t="s">
        <v>638</v>
      </c>
      <c r="H48" s="2566">
        <v>0</v>
      </c>
      <c r="I48" s="2566">
        <v>0</v>
      </c>
      <c r="J48" s="2566">
        <v>0</v>
      </c>
      <c r="K48" s="2566">
        <v>0</v>
      </c>
      <c r="L48" s="2566">
        <v>0</v>
      </c>
      <c r="M48" s="3126">
        <v>0</v>
      </c>
      <c r="N48" s="2570">
        <v>0</v>
      </c>
      <c r="O48" s="2570">
        <f>+[4]Nebyty!$B$20</f>
        <v>0</v>
      </c>
      <c r="P48" s="2569">
        <f t="shared" si="0"/>
        <v>0</v>
      </c>
      <c r="Q48" s="2570"/>
      <c r="R48" s="2570"/>
      <c r="S48" s="2570"/>
      <c r="T48" s="2570"/>
      <c r="U48" s="2570"/>
      <c r="V48" s="2487"/>
      <c r="W48" s="2530"/>
    </row>
    <row r="49" spans="1:23" s="2571" customFormat="1" ht="15" hidden="1" customHeight="1" outlineLevel="1">
      <c r="A49" s="2564"/>
      <c r="B49" s="2559" t="s">
        <v>140</v>
      </c>
      <c r="C49" s="2577" t="s">
        <v>1582</v>
      </c>
      <c r="D49" s="2573"/>
      <c r="E49" s="2573"/>
      <c r="F49" s="2574"/>
      <c r="G49" s="2573" t="s">
        <v>638</v>
      </c>
      <c r="H49" s="2573">
        <v>0</v>
      </c>
      <c r="I49" s="2573">
        <v>0</v>
      </c>
      <c r="J49" s="2573">
        <v>0</v>
      </c>
      <c r="K49" s="2573">
        <v>0</v>
      </c>
      <c r="L49" s="2573">
        <v>0</v>
      </c>
      <c r="M49" s="3127">
        <v>0</v>
      </c>
      <c r="N49" s="2575">
        <v>0</v>
      </c>
      <c r="O49" s="2575">
        <f>+[4]Nebyty!$B$9</f>
        <v>0</v>
      </c>
      <c r="P49" s="2576">
        <f t="shared" si="0"/>
        <v>0</v>
      </c>
      <c r="Q49" s="2575"/>
      <c r="R49" s="2575"/>
      <c r="S49" s="2575"/>
      <c r="T49" s="2575"/>
      <c r="U49" s="2575"/>
      <c r="V49" s="2487"/>
      <c r="W49" s="2530"/>
    </row>
    <row r="50" spans="1:23" s="2571" customFormat="1" ht="15" hidden="1" customHeight="1" outlineLevel="1">
      <c r="A50" s="2564"/>
      <c r="B50" s="2515" t="s">
        <v>140</v>
      </c>
      <c r="C50" s="2578" t="s">
        <v>2185</v>
      </c>
      <c r="D50" s="2566"/>
      <c r="E50" s="2566"/>
      <c r="F50" s="2567"/>
      <c r="G50" s="2566" t="s">
        <v>638</v>
      </c>
      <c r="H50" s="2566">
        <v>0</v>
      </c>
      <c r="I50" s="2566">
        <v>0</v>
      </c>
      <c r="J50" s="2566">
        <v>0</v>
      </c>
      <c r="K50" s="2566">
        <v>0</v>
      </c>
      <c r="L50" s="2566">
        <v>0</v>
      </c>
      <c r="M50" s="3126">
        <v>0</v>
      </c>
      <c r="N50" s="2570">
        <v>0</v>
      </c>
      <c r="O50" s="2570">
        <f>+[4]Nebyty!$B$24</f>
        <v>0</v>
      </c>
      <c r="P50" s="2569">
        <f t="shared" si="0"/>
        <v>0</v>
      </c>
      <c r="Q50" s="2570"/>
      <c r="R50" s="2570"/>
      <c r="S50" s="2570"/>
      <c r="T50" s="2570"/>
      <c r="U50" s="2570"/>
      <c r="V50" s="2487"/>
      <c r="W50" s="2530"/>
    </row>
    <row r="51" spans="1:23" s="2571" customFormat="1" ht="15" hidden="1" customHeight="1" outlineLevel="1">
      <c r="A51" s="2564"/>
      <c r="B51" s="2515" t="s">
        <v>140</v>
      </c>
      <c r="C51" s="2578" t="s">
        <v>1583</v>
      </c>
      <c r="D51" s="2566"/>
      <c r="E51" s="2566"/>
      <c r="F51" s="2567"/>
      <c r="G51" s="2566" t="s">
        <v>638</v>
      </c>
      <c r="H51" s="2566">
        <v>0</v>
      </c>
      <c r="I51" s="2566">
        <v>0</v>
      </c>
      <c r="J51" s="2566">
        <v>0</v>
      </c>
      <c r="K51" s="2566">
        <v>0</v>
      </c>
      <c r="L51" s="2566">
        <v>0</v>
      </c>
      <c r="M51" s="3126">
        <v>0</v>
      </c>
      <c r="N51" s="2570">
        <v>0</v>
      </c>
      <c r="O51" s="2570">
        <f>+[4]Nebyty!$B$25</f>
        <v>0</v>
      </c>
      <c r="P51" s="2569">
        <f t="shared" si="0"/>
        <v>0</v>
      </c>
      <c r="Q51" s="2570"/>
      <c r="R51" s="2570"/>
      <c r="S51" s="2570"/>
      <c r="T51" s="2570"/>
      <c r="U51" s="2570"/>
      <c r="V51" s="2487"/>
      <c r="W51" s="2530"/>
    </row>
    <row r="52" spans="1:23" s="2571" customFormat="1" ht="13.5" hidden="1" outlineLevel="1">
      <c r="A52" s="2532"/>
      <c r="B52" s="2515" t="s">
        <v>140</v>
      </c>
      <c r="C52" s="2578" t="s">
        <v>1585</v>
      </c>
      <c r="D52" s="2566"/>
      <c r="E52" s="2566"/>
      <c r="F52" s="2567"/>
      <c r="G52" s="2566" t="s">
        <v>638</v>
      </c>
      <c r="H52" s="2566">
        <v>0</v>
      </c>
      <c r="I52" s="2566">
        <v>0</v>
      </c>
      <c r="J52" s="2566">
        <v>0</v>
      </c>
      <c r="K52" s="2566">
        <v>0</v>
      </c>
      <c r="L52" s="2566">
        <v>0</v>
      </c>
      <c r="M52" s="3126">
        <v>0</v>
      </c>
      <c r="N52" s="2570">
        <v>0</v>
      </c>
      <c r="O52" s="2570">
        <f>+[4]Nebyty!$B$40</f>
        <v>0</v>
      </c>
      <c r="P52" s="2569">
        <f t="shared" si="0"/>
        <v>0</v>
      </c>
      <c r="Q52" s="2570"/>
      <c r="R52" s="2570"/>
      <c r="S52" s="2570"/>
      <c r="T52" s="2570"/>
      <c r="U52" s="2570"/>
      <c r="V52" s="2487"/>
      <c r="W52" s="2530"/>
    </row>
    <row r="53" spans="1:23" s="2571" customFormat="1" ht="15" hidden="1" customHeight="1" outlineLevel="1">
      <c r="A53" s="2564"/>
      <c r="B53" s="2515" t="s">
        <v>140</v>
      </c>
      <c r="C53" s="2578" t="s">
        <v>1586</v>
      </c>
      <c r="D53" s="2566"/>
      <c r="E53" s="2566"/>
      <c r="F53" s="2567"/>
      <c r="G53" s="2566" t="s">
        <v>638</v>
      </c>
      <c r="H53" s="2566">
        <v>0</v>
      </c>
      <c r="I53" s="2566">
        <v>0</v>
      </c>
      <c r="J53" s="2566">
        <v>0</v>
      </c>
      <c r="K53" s="2566">
        <v>0</v>
      </c>
      <c r="L53" s="2566">
        <v>0</v>
      </c>
      <c r="M53" s="3126">
        <v>0</v>
      </c>
      <c r="N53" s="2570">
        <v>0</v>
      </c>
      <c r="O53" s="2570">
        <f>+[4]Nebyty!$B$41</f>
        <v>0</v>
      </c>
      <c r="P53" s="2569">
        <f t="shared" si="0"/>
        <v>0</v>
      </c>
      <c r="Q53" s="2570"/>
      <c r="R53" s="2570"/>
      <c r="S53" s="2570"/>
      <c r="T53" s="2570"/>
      <c r="U53" s="2570"/>
      <c r="V53" s="2487"/>
      <c r="W53" s="2530"/>
    </row>
    <row r="54" spans="1:23" s="2571" customFormat="1" ht="15" hidden="1" customHeight="1" outlineLevel="1">
      <c r="A54" s="2564"/>
      <c r="B54" s="2515" t="s">
        <v>140</v>
      </c>
      <c r="C54" s="2578" t="s">
        <v>1580</v>
      </c>
      <c r="D54" s="2566"/>
      <c r="E54" s="2566"/>
      <c r="F54" s="2567"/>
      <c r="G54" s="2566" t="s">
        <v>638</v>
      </c>
      <c r="H54" s="2566">
        <v>0</v>
      </c>
      <c r="I54" s="2566">
        <v>0</v>
      </c>
      <c r="J54" s="2566">
        <v>0</v>
      </c>
      <c r="K54" s="2566">
        <v>0</v>
      </c>
      <c r="L54" s="2566">
        <v>0</v>
      </c>
      <c r="M54" s="3126">
        <v>0</v>
      </c>
      <c r="N54" s="2570">
        <v>0</v>
      </c>
      <c r="O54" s="2570">
        <f>+[4]Nebyty!$B$51</f>
        <v>0</v>
      </c>
      <c r="P54" s="2569">
        <f t="shared" si="0"/>
        <v>0</v>
      </c>
      <c r="Q54" s="2570"/>
      <c r="R54" s="2570"/>
      <c r="S54" s="2570"/>
      <c r="T54" s="2570"/>
      <c r="U54" s="2570"/>
      <c r="V54" s="2487"/>
      <c r="W54" s="2530"/>
    </row>
    <row r="55" spans="1:23" s="2571" customFormat="1" ht="15" hidden="1" customHeight="1" outlineLevel="1">
      <c r="A55" s="2564"/>
      <c r="B55" s="2515" t="s">
        <v>140</v>
      </c>
      <c r="C55" s="2578" t="s">
        <v>1587</v>
      </c>
      <c r="D55" s="2566"/>
      <c r="E55" s="2566"/>
      <c r="F55" s="2567"/>
      <c r="G55" s="2566" t="s">
        <v>638</v>
      </c>
      <c r="H55" s="2566">
        <v>0</v>
      </c>
      <c r="I55" s="2566">
        <v>0</v>
      </c>
      <c r="J55" s="2566">
        <v>0</v>
      </c>
      <c r="K55" s="2566">
        <v>0</v>
      </c>
      <c r="L55" s="2566">
        <v>0</v>
      </c>
      <c r="M55" s="3126">
        <v>0</v>
      </c>
      <c r="N55" s="2570">
        <v>0</v>
      </c>
      <c r="O55" s="2570">
        <f>+[4]Nebyty!$B$52</f>
        <v>0</v>
      </c>
      <c r="P55" s="2569">
        <f t="shared" si="0"/>
        <v>0</v>
      </c>
      <c r="Q55" s="2570"/>
      <c r="R55" s="2570"/>
      <c r="S55" s="2570"/>
      <c r="T55" s="2570"/>
      <c r="U55" s="2570"/>
      <c r="V55" s="2487"/>
      <c r="W55" s="2530"/>
    </row>
    <row r="56" spans="1:23" s="2571" customFormat="1" ht="15" hidden="1" customHeight="1" outlineLevel="1">
      <c r="A56" s="2564"/>
      <c r="B56" s="2515" t="s">
        <v>140</v>
      </c>
      <c r="C56" s="2578" t="s">
        <v>1588</v>
      </c>
      <c r="D56" s="2566"/>
      <c r="E56" s="2566"/>
      <c r="F56" s="2567"/>
      <c r="G56" s="2566" t="s">
        <v>638</v>
      </c>
      <c r="H56" s="2566">
        <v>0</v>
      </c>
      <c r="I56" s="2566">
        <v>0</v>
      </c>
      <c r="J56" s="2566">
        <v>0</v>
      </c>
      <c r="K56" s="2566">
        <v>0</v>
      </c>
      <c r="L56" s="2566">
        <v>0</v>
      </c>
      <c r="M56" s="3126">
        <v>0</v>
      </c>
      <c r="N56" s="2569">
        <v>0</v>
      </c>
      <c r="O56" s="2569">
        <f>+[4]Nebyty!$B$66</f>
        <v>0</v>
      </c>
      <c r="P56" s="2569">
        <f t="shared" si="0"/>
        <v>0</v>
      </c>
      <c r="Q56" s="2569"/>
      <c r="R56" s="2569"/>
      <c r="S56" s="2569"/>
      <c r="T56" s="2569"/>
      <c r="U56" s="2579"/>
      <c r="V56" s="2487"/>
      <c r="W56" s="2530"/>
    </row>
    <row r="57" spans="1:23" s="2571" customFormat="1" ht="15" hidden="1" customHeight="1" outlineLevel="1">
      <c r="A57" s="2564"/>
      <c r="B57" s="2515" t="s">
        <v>140</v>
      </c>
      <c r="C57" s="2578" t="s">
        <v>1589</v>
      </c>
      <c r="D57" s="2566"/>
      <c r="E57" s="2566"/>
      <c r="F57" s="2567"/>
      <c r="G57" s="2566" t="s">
        <v>638</v>
      </c>
      <c r="H57" s="2566">
        <v>0</v>
      </c>
      <c r="I57" s="2566">
        <v>0</v>
      </c>
      <c r="J57" s="2566">
        <v>0</v>
      </c>
      <c r="K57" s="2566">
        <v>0</v>
      </c>
      <c r="L57" s="2566">
        <v>0</v>
      </c>
      <c r="M57" s="3126">
        <v>0</v>
      </c>
      <c r="N57" s="2570">
        <v>0</v>
      </c>
      <c r="O57" s="2570">
        <f>+[4]Nebyty!$B$67</f>
        <v>0</v>
      </c>
      <c r="P57" s="2569">
        <f t="shared" si="0"/>
        <v>0</v>
      </c>
      <c r="Q57" s="2570"/>
      <c r="R57" s="2570"/>
      <c r="S57" s="2570"/>
      <c r="T57" s="2570"/>
      <c r="U57" s="2570"/>
      <c r="V57" s="2487"/>
      <c r="W57" s="2530"/>
    </row>
    <row r="58" spans="1:23" s="2571" customFormat="1" ht="15" customHeight="1" outlineLevel="1">
      <c r="A58" s="2564"/>
      <c r="B58" s="2559" t="s">
        <v>140</v>
      </c>
      <c r="C58" s="2577" t="s">
        <v>2680</v>
      </c>
      <c r="D58" s="2573"/>
      <c r="E58" s="2573"/>
      <c r="F58" s="2574"/>
      <c r="G58" s="2573" t="s">
        <v>638</v>
      </c>
      <c r="H58" s="2573">
        <v>0</v>
      </c>
      <c r="I58" s="2573">
        <v>0</v>
      </c>
      <c r="J58" s="2573">
        <v>4635899</v>
      </c>
      <c r="K58" s="2573">
        <v>4635899</v>
      </c>
      <c r="L58" s="2573">
        <v>9835899</v>
      </c>
      <c r="M58" s="3127">
        <v>9835899</v>
      </c>
      <c r="N58" s="2575">
        <v>9300000</v>
      </c>
      <c r="O58" s="2575">
        <f>+[4]Nebyty!$B$78</f>
        <v>9300000</v>
      </c>
      <c r="P58" s="2576">
        <f t="shared" si="0"/>
        <v>0</v>
      </c>
      <c r="Q58" s="2575"/>
      <c r="R58" s="2575"/>
      <c r="S58" s="2575"/>
      <c r="T58" s="2575"/>
      <c r="U58" s="2575"/>
      <c r="V58" s="2487"/>
      <c r="W58" s="2530"/>
    </row>
    <row r="59" spans="1:23" s="2571" customFormat="1" ht="15" customHeight="1" outlineLevel="1">
      <c r="A59" s="2564"/>
      <c r="B59" s="2559" t="s">
        <v>140</v>
      </c>
      <c r="C59" s="2577" t="s">
        <v>1590</v>
      </c>
      <c r="D59" s="2573"/>
      <c r="E59" s="2573"/>
      <c r="F59" s="2574"/>
      <c r="G59" s="2573" t="s">
        <v>638</v>
      </c>
      <c r="H59" s="2573">
        <v>500000</v>
      </c>
      <c r="I59" s="2573">
        <v>500000</v>
      </c>
      <c r="J59" s="2573">
        <v>500000</v>
      </c>
      <c r="K59" s="2573">
        <v>500000</v>
      </c>
      <c r="L59" s="2573">
        <v>500000</v>
      </c>
      <c r="M59" s="3127">
        <v>500000</v>
      </c>
      <c r="N59" s="2575">
        <v>500000</v>
      </c>
      <c r="O59" s="2575">
        <f>+[4]Nebyty!$B$79</f>
        <v>500000</v>
      </c>
      <c r="P59" s="2576">
        <f t="shared" si="0"/>
        <v>0</v>
      </c>
      <c r="Q59" s="2575"/>
      <c r="R59" s="2575"/>
      <c r="S59" s="2575"/>
      <c r="T59" s="2575"/>
      <c r="U59" s="2575"/>
      <c r="V59" s="2487"/>
      <c r="W59" s="2530"/>
    </row>
    <row r="60" spans="1:23" s="2571" customFormat="1" ht="15" hidden="1" customHeight="1" outlineLevel="1">
      <c r="A60" s="2564"/>
      <c r="B60" s="2559" t="s">
        <v>140</v>
      </c>
      <c r="C60" s="2577" t="s">
        <v>1591</v>
      </c>
      <c r="D60" s="2573"/>
      <c r="E60" s="2573"/>
      <c r="F60" s="2574"/>
      <c r="G60" s="2573" t="s">
        <v>638</v>
      </c>
      <c r="H60" s="2573">
        <v>0</v>
      </c>
      <c r="I60" s="2573">
        <v>0</v>
      </c>
      <c r="J60" s="2573">
        <v>0</v>
      </c>
      <c r="K60" s="2573">
        <v>0</v>
      </c>
      <c r="L60" s="2573">
        <v>0</v>
      </c>
      <c r="M60" s="3127">
        <v>0</v>
      </c>
      <c r="N60" s="2575">
        <v>0</v>
      </c>
      <c r="O60" s="2575">
        <f>+[4]Nebyty!$B$89</f>
        <v>0</v>
      </c>
      <c r="P60" s="2576">
        <f t="shared" si="0"/>
        <v>0</v>
      </c>
      <c r="Q60" s="2575"/>
      <c r="R60" s="2575"/>
      <c r="S60" s="2575"/>
      <c r="T60" s="2575"/>
      <c r="U60" s="2575"/>
      <c r="V60" s="2487"/>
      <c r="W60" s="2530"/>
    </row>
    <row r="61" spans="1:23" s="2571" customFormat="1" ht="15" hidden="1" customHeight="1" outlineLevel="1">
      <c r="A61" s="2564"/>
      <c r="B61" s="2559" t="s">
        <v>140</v>
      </c>
      <c r="C61" s="2577" t="s">
        <v>1592</v>
      </c>
      <c r="D61" s="2573"/>
      <c r="E61" s="2573"/>
      <c r="F61" s="2574"/>
      <c r="G61" s="2573" t="s">
        <v>638</v>
      </c>
      <c r="H61" s="2573">
        <v>0</v>
      </c>
      <c r="I61" s="2573">
        <v>500000</v>
      </c>
      <c r="J61" s="2573">
        <v>500000</v>
      </c>
      <c r="K61" s="2573">
        <v>500000</v>
      </c>
      <c r="L61" s="2573">
        <v>500000</v>
      </c>
      <c r="M61" s="3127">
        <v>500000</v>
      </c>
      <c r="N61" s="2575">
        <v>0</v>
      </c>
      <c r="O61" s="2575">
        <f>+[4]Nebyty!$B$90</f>
        <v>0</v>
      </c>
      <c r="P61" s="2576">
        <f t="shared" si="0"/>
        <v>0</v>
      </c>
      <c r="Q61" s="2575"/>
      <c r="R61" s="2575"/>
      <c r="S61" s="2575"/>
      <c r="T61" s="2575"/>
      <c r="U61" s="2575"/>
      <c r="V61" s="2487"/>
      <c r="W61" s="2530"/>
    </row>
    <row r="62" spans="1:23" s="2571" customFormat="1" ht="15" customHeight="1" outlineLevel="1">
      <c r="A62" s="2564"/>
      <c r="B62" s="2559" t="s">
        <v>140</v>
      </c>
      <c r="C62" s="2577" t="s">
        <v>1673</v>
      </c>
      <c r="D62" s="2573"/>
      <c r="E62" s="2573"/>
      <c r="F62" s="2574"/>
      <c r="G62" s="2573" t="s">
        <v>638</v>
      </c>
      <c r="H62" s="2573">
        <v>0</v>
      </c>
      <c r="I62" s="2573">
        <v>0</v>
      </c>
      <c r="J62" s="2573">
        <v>0</v>
      </c>
      <c r="K62" s="2573">
        <v>0</v>
      </c>
      <c r="L62" s="2573">
        <v>150000</v>
      </c>
      <c r="M62" s="3127">
        <v>150000</v>
      </c>
      <c r="N62" s="2575">
        <v>150000</v>
      </c>
      <c r="O62" s="2575">
        <f>+[3]Nebyty!$B$23</f>
        <v>60000</v>
      </c>
      <c r="P62" s="2576">
        <f t="shared" si="0"/>
        <v>-90000</v>
      </c>
      <c r="Q62" s="2575"/>
      <c r="R62" s="2575"/>
      <c r="S62" s="2575"/>
      <c r="T62" s="2575"/>
      <c r="U62" s="2575"/>
      <c r="V62" s="2487"/>
      <c r="W62" s="2530"/>
    </row>
    <row r="63" spans="1:23" s="2571" customFormat="1" ht="15" hidden="1" customHeight="1" outlineLevel="1">
      <c r="A63" s="2564"/>
      <c r="B63" s="2559" t="s">
        <v>140</v>
      </c>
      <c r="C63" s="2577" t="s">
        <v>1674</v>
      </c>
      <c r="D63" s="2573"/>
      <c r="E63" s="2573"/>
      <c r="F63" s="2574"/>
      <c r="G63" s="2573" t="s">
        <v>638</v>
      </c>
      <c r="H63" s="2573">
        <v>0</v>
      </c>
      <c r="I63" s="2573">
        <v>0</v>
      </c>
      <c r="J63" s="2573">
        <v>0</v>
      </c>
      <c r="K63" s="2573">
        <v>0</v>
      </c>
      <c r="L63" s="2573">
        <v>0</v>
      </c>
      <c r="M63" s="3127">
        <v>0</v>
      </c>
      <c r="N63" s="2575">
        <v>0</v>
      </c>
      <c r="O63" s="2575">
        <f>+[3]Nebyty!$B$24</f>
        <v>0</v>
      </c>
      <c r="P63" s="2576">
        <f t="shared" si="0"/>
        <v>0</v>
      </c>
      <c r="Q63" s="2575"/>
      <c r="R63" s="2575"/>
      <c r="S63" s="2575"/>
      <c r="T63" s="2575"/>
      <c r="U63" s="2575"/>
      <c r="V63" s="2487"/>
      <c r="W63" s="2530"/>
    </row>
    <row r="64" spans="1:23" s="2571" customFormat="1" ht="15" customHeight="1" outlineLevel="1">
      <c r="A64" s="2564"/>
      <c r="B64" s="2559" t="s">
        <v>140</v>
      </c>
      <c r="C64" s="2577" t="s">
        <v>2185</v>
      </c>
      <c r="D64" s="2573"/>
      <c r="E64" s="2573"/>
      <c r="F64" s="2574"/>
      <c r="G64" s="2573" t="s">
        <v>638</v>
      </c>
      <c r="H64" s="2573">
        <v>30000</v>
      </c>
      <c r="I64" s="2573">
        <v>30000</v>
      </c>
      <c r="J64" s="2573">
        <v>30000</v>
      </c>
      <c r="K64" s="2573">
        <v>30000</v>
      </c>
      <c r="L64" s="2573">
        <v>30000</v>
      </c>
      <c r="M64" s="3127">
        <v>30000</v>
      </c>
      <c r="N64" s="2575">
        <v>30000</v>
      </c>
      <c r="O64" s="2575">
        <f>+[3]Nebyty!$B$25</f>
        <v>30000</v>
      </c>
      <c r="P64" s="2576">
        <f t="shared" si="0"/>
        <v>0</v>
      </c>
      <c r="Q64" s="2575"/>
      <c r="R64" s="2575"/>
      <c r="S64" s="2575"/>
      <c r="T64" s="2575"/>
      <c r="U64" s="2575"/>
      <c r="V64" s="2487"/>
      <c r="W64" s="2530"/>
    </row>
    <row r="65" spans="1:23" s="2571" customFormat="1" ht="15" customHeight="1" outlineLevel="1" thickBot="1">
      <c r="A65" s="2564"/>
      <c r="B65" s="2553" t="s">
        <v>140</v>
      </c>
      <c r="C65" s="2580"/>
      <c r="D65" s="2581"/>
      <c r="E65" s="2581"/>
      <c r="F65" s="2582"/>
      <c r="G65" s="2581"/>
      <c r="H65" s="2581"/>
      <c r="I65" s="2581"/>
      <c r="J65" s="2581"/>
      <c r="K65" s="2581"/>
      <c r="L65" s="2581"/>
      <c r="M65" s="3128"/>
      <c r="N65" s="2583"/>
      <c r="O65" s="2583"/>
      <c r="P65" s="2584">
        <f t="shared" si="0"/>
        <v>0</v>
      </c>
      <c r="Q65" s="2583"/>
      <c r="R65" s="2583"/>
      <c r="S65" s="2583"/>
      <c r="T65" s="2583"/>
      <c r="U65" s="2575"/>
      <c r="V65" s="2487"/>
      <c r="W65" s="2530"/>
    </row>
    <row r="66" spans="1:23" ht="13.9" thickBot="1">
      <c r="A66" s="3276" t="s">
        <v>1214</v>
      </c>
      <c r="B66" s="3277"/>
      <c r="C66" s="2523"/>
      <c r="D66" s="2524"/>
      <c r="E66" s="2524"/>
      <c r="F66" s="2525"/>
      <c r="G66" s="2524"/>
      <c r="H66" s="2524">
        <v>530000</v>
      </c>
      <c r="I66" s="2524">
        <v>1030000</v>
      </c>
      <c r="J66" s="2524">
        <v>5665899</v>
      </c>
      <c r="K66" s="2524">
        <v>5665899</v>
      </c>
      <c r="L66" s="2524">
        <v>11015899</v>
      </c>
      <c r="M66" s="3123">
        <v>11015899</v>
      </c>
      <c r="N66" s="2526">
        <v>10515899</v>
      </c>
      <c r="O66" s="2526">
        <f>SUM(O48:O65)</f>
        <v>9890000</v>
      </c>
      <c r="P66" s="2527">
        <f t="shared" si="0"/>
        <v>-625899</v>
      </c>
      <c r="Q66" s="2528"/>
      <c r="R66" s="2528">
        <f>SUM(R48:R57)</f>
        <v>0</v>
      </c>
      <c r="S66" s="2528"/>
      <c r="T66" s="2528"/>
      <c r="U66" s="2528"/>
      <c r="V66" s="2529">
        <f>+'Výdaje kapitol celkem'!AO72</f>
        <v>9890000</v>
      </c>
      <c r="W66" s="2530">
        <f>+V66-O66</f>
        <v>0</v>
      </c>
    </row>
    <row r="67" spans="1:23" s="2571" customFormat="1" ht="15" hidden="1" customHeight="1" outlineLevel="1">
      <c r="A67" s="2564"/>
      <c r="B67" s="2515" t="s">
        <v>139</v>
      </c>
      <c r="C67" s="2578"/>
      <c r="D67" s="2566"/>
      <c r="E67" s="2566"/>
      <c r="F67" s="2567"/>
      <c r="G67" s="2566" t="s">
        <v>638</v>
      </c>
      <c r="H67" s="2566">
        <v>0</v>
      </c>
      <c r="I67" s="2566">
        <v>0</v>
      </c>
      <c r="J67" s="2566">
        <v>0</v>
      </c>
      <c r="K67" s="2566">
        <v>0</v>
      </c>
      <c r="L67" s="2566">
        <v>0</v>
      </c>
      <c r="M67" s="3126">
        <v>0</v>
      </c>
      <c r="N67" s="2570">
        <v>0</v>
      </c>
      <c r="O67" s="2570">
        <f>+[3]DPS!$B$50</f>
        <v>0</v>
      </c>
      <c r="P67" s="2569">
        <f t="shared" si="0"/>
        <v>0</v>
      </c>
      <c r="Q67" s="2570"/>
      <c r="R67" s="2570"/>
      <c r="S67" s="2570"/>
      <c r="T67" s="2570"/>
      <c r="U67" s="2570"/>
      <c r="V67" s="2487"/>
      <c r="W67" s="2530"/>
    </row>
    <row r="68" spans="1:23" s="2571" customFormat="1" ht="15" hidden="1" customHeight="1" outlineLevel="1">
      <c r="A68" s="2564"/>
      <c r="B68" s="2515" t="s">
        <v>139</v>
      </c>
      <c r="C68" s="2578"/>
      <c r="D68" s="2566"/>
      <c r="E68" s="2566"/>
      <c r="F68" s="2567"/>
      <c r="G68" s="2566" t="s">
        <v>638</v>
      </c>
      <c r="H68" s="2566">
        <v>0</v>
      </c>
      <c r="I68" s="2566">
        <v>0</v>
      </c>
      <c r="J68" s="2566">
        <v>0</v>
      </c>
      <c r="K68" s="2566">
        <v>0</v>
      </c>
      <c r="L68" s="2566">
        <v>0</v>
      </c>
      <c r="M68" s="3126">
        <v>0</v>
      </c>
      <c r="N68" s="2570">
        <v>0</v>
      </c>
      <c r="O68" s="2570">
        <f>+[3]DPS!$B$51</f>
        <v>0</v>
      </c>
      <c r="P68" s="2569">
        <f t="shared" si="0"/>
        <v>0</v>
      </c>
      <c r="Q68" s="2570"/>
      <c r="R68" s="2570"/>
      <c r="S68" s="2570"/>
      <c r="T68" s="2570"/>
      <c r="U68" s="2570"/>
      <c r="V68" s="2487"/>
      <c r="W68" s="2530"/>
    </row>
    <row r="69" spans="1:23" s="2571" customFormat="1" ht="15" hidden="1" customHeight="1" outlineLevel="1" thickBot="1">
      <c r="A69" s="2533" t="s">
        <v>168</v>
      </c>
      <c r="B69" s="2553" t="s">
        <v>139</v>
      </c>
      <c r="C69" s="2580"/>
      <c r="D69" s="2581"/>
      <c r="E69" s="2581"/>
      <c r="F69" s="2582"/>
      <c r="G69" s="2581" t="s">
        <v>638</v>
      </c>
      <c r="H69" s="2581">
        <v>0</v>
      </c>
      <c r="I69" s="2581">
        <v>0</v>
      </c>
      <c r="J69" s="2581">
        <v>0</v>
      </c>
      <c r="K69" s="2581">
        <v>0</v>
      </c>
      <c r="L69" s="2581">
        <v>0</v>
      </c>
      <c r="M69" s="3128">
        <v>0</v>
      </c>
      <c r="N69" s="2583">
        <v>0</v>
      </c>
      <c r="O69" s="2583">
        <f>+[3]DPS!$B$52</f>
        <v>0</v>
      </c>
      <c r="P69" s="2584">
        <f t="shared" si="0"/>
        <v>0</v>
      </c>
      <c r="Q69" s="2583"/>
      <c r="R69" s="2583"/>
      <c r="S69" s="2583"/>
      <c r="T69" s="2583"/>
      <c r="U69" s="2583"/>
      <c r="V69" s="2487"/>
      <c r="W69" s="2530"/>
    </row>
    <row r="70" spans="1:23" ht="13.9" collapsed="1" thickBot="1">
      <c r="A70" s="3276" t="s">
        <v>1183</v>
      </c>
      <c r="B70" s="3277" t="s">
        <v>139</v>
      </c>
      <c r="C70" s="2523"/>
      <c r="D70" s="2524"/>
      <c r="E70" s="2524"/>
      <c r="F70" s="2525"/>
      <c r="G70" s="2524" t="s">
        <v>638</v>
      </c>
      <c r="H70" s="2524">
        <v>0</v>
      </c>
      <c r="I70" s="2524">
        <v>0</v>
      </c>
      <c r="J70" s="2524">
        <v>0</v>
      </c>
      <c r="K70" s="2524">
        <v>0</v>
      </c>
      <c r="L70" s="2524">
        <v>0</v>
      </c>
      <c r="M70" s="3123">
        <v>0</v>
      </c>
      <c r="N70" s="2526">
        <v>0</v>
      </c>
      <c r="O70" s="2526">
        <f>SUM(O67:O69)</f>
        <v>0</v>
      </c>
      <c r="P70" s="2527">
        <f t="shared" si="0"/>
        <v>0</v>
      </c>
      <c r="Q70" s="2528"/>
      <c r="R70" s="2528">
        <f>SUM(R67:R69)</f>
        <v>0</v>
      </c>
      <c r="S70" s="2528"/>
      <c r="T70" s="2528"/>
      <c r="U70" s="2528"/>
      <c r="V70" s="2529">
        <f>'Výdaje kapitol celkem'!AL72</f>
        <v>0</v>
      </c>
      <c r="W70" s="2530">
        <f>+V70-O70</f>
        <v>0</v>
      </c>
    </row>
    <row r="71" spans="1:23" s="2571" customFormat="1" ht="13.5" hidden="1" outlineLevel="1">
      <c r="A71" s="2532"/>
      <c r="B71" s="2565" t="s">
        <v>706</v>
      </c>
      <c r="C71" s="2565"/>
      <c r="D71" s="2566"/>
      <c r="E71" s="2566"/>
      <c r="F71" s="2567"/>
      <c r="G71" s="2566" t="s">
        <v>638</v>
      </c>
      <c r="H71" s="2566"/>
      <c r="I71" s="2566"/>
      <c r="J71" s="2566"/>
      <c r="K71" s="2566"/>
      <c r="L71" s="2566"/>
      <c r="M71" s="3126"/>
      <c r="N71" s="2570"/>
      <c r="O71" s="2570"/>
      <c r="P71" s="2569">
        <f t="shared" si="0"/>
        <v>0</v>
      </c>
      <c r="Q71" s="2570"/>
      <c r="R71" s="2570"/>
      <c r="S71" s="2570"/>
      <c r="T71" s="2570"/>
      <c r="U71" s="2570"/>
      <c r="V71" s="2487"/>
      <c r="W71" s="2530"/>
    </row>
    <row r="72" spans="1:23" s="2571" customFormat="1" ht="13.9" hidden="1" outlineLevel="1" thickBot="1">
      <c r="A72" s="2533">
        <v>4351</v>
      </c>
      <c r="B72" s="2585" t="s">
        <v>706</v>
      </c>
      <c r="C72" s="2585"/>
      <c r="D72" s="2581"/>
      <c r="E72" s="2581"/>
      <c r="F72" s="2582"/>
      <c r="G72" s="2586" t="s">
        <v>638</v>
      </c>
      <c r="H72" s="2586"/>
      <c r="I72" s="2586"/>
      <c r="J72" s="2586"/>
      <c r="K72" s="2586"/>
      <c r="L72" s="2586"/>
      <c r="M72" s="3129"/>
      <c r="N72" s="2587"/>
      <c r="O72" s="2587"/>
      <c r="P72" s="2588">
        <f t="shared" ref="P72:P135" si="4">+O72-N72</f>
        <v>0</v>
      </c>
      <c r="Q72" s="2587"/>
      <c r="R72" s="2587"/>
      <c r="S72" s="2587"/>
      <c r="T72" s="2587"/>
      <c r="U72" s="2587"/>
      <c r="V72" s="2487"/>
      <c r="W72" s="2530"/>
    </row>
    <row r="73" spans="1:23" ht="15" customHeight="1" collapsed="1" thickBot="1">
      <c r="A73" s="3276" t="s">
        <v>1909</v>
      </c>
      <c r="B73" s="3277"/>
      <c r="C73" s="2523"/>
      <c r="D73" s="2524"/>
      <c r="E73" s="2524"/>
      <c r="F73" s="2525"/>
      <c r="G73" s="2524" t="s">
        <v>638</v>
      </c>
      <c r="H73" s="2524">
        <v>0</v>
      </c>
      <c r="I73" s="2524">
        <v>0</v>
      </c>
      <c r="J73" s="2524">
        <v>0</v>
      </c>
      <c r="K73" s="2524">
        <v>0</v>
      </c>
      <c r="L73" s="2524">
        <v>0</v>
      </c>
      <c r="M73" s="3123">
        <v>0</v>
      </c>
      <c r="N73" s="2526">
        <v>0</v>
      </c>
      <c r="O73" s="2526">
        <f>SUM(O71:O72)</f>
        <v>0</v>
      </c>
      <c r="P73" s="2527">
        <f t="shared" si="4"/>
        <v>0</v>
      </c>
      <c r="Q73" s="2528"/>
      <c r="R73" s="2528">
        <f t="shared" ref="R73" si="5">SUM(R71:R72)</f>
        <v>0</v>
      </c>
      <c r="S73" s="2528"/>
      <c r="T73" s="2528"/>
      <c r="U73" s="2528"/>
      <c r="V73" s="2529">
        <f>'Výdaje kapitol celkem'!Y72</f>
        <v>0</v>
      </c>
      <c r="W73" s="2530">
        <f>+V73-O73</f>
        <v>0</v>
      </c>
    </row>
    <row r="74" spans="1:23" s="2571" customFormat="1" ht="15" customHeight="1" outlineLevel="1">
      <c r="A74" s="2564"/>
      <c r="B74" s="2515" t="s">
        <v>141</v>
      </c>
      <c r="C74" s="2578" t="s">
        <v>2983</v>
      </c>
      <c r="D74" s="2566"/>
      <c r="E74" s="2566"/>
      <c r="F74" s="2567"/>
      <c r="G74" s="2566" t="s">
        <v>638</v>
      </c>
      <c r="H74" s="2566"/>
      <c r="I74" s="2566"/>
      <c r="J74" s="2566"/>
      <c r="K74" s="2566"/>
      <c r="L74" s="2566"/>
      <c r="M74" s="3126"/>
      <c r="N74" s="2570"/>
      <c r="O74" s="2570">
        <f>+[3]Hasiči!$B$41</f>
        <v>45000</v>
      </c>
      <c r="P74" s="2569">
        <f t="shared" si="4"/>
        <v>45000</v>
      </c>
      <c r="Q74" s="2570"/>
      <c r="R74" s="2570">
        <v>0</v>
      </c>
      <c r="S74" s="2570"/>
      <c r="T74" s="2570"/>
      <c r="U74" s="2570"/>
      <c r="V74" s="2487"/>
      <c r="W74" s="2530"/>
    </row>
    <row r="75" spans="1:23" s="2571" customFormat="1" ht="15" customHeight="1" outlineLevel="1">
      <c r="A75" s="2564"/>
      <c r="B75" s="2589" t="s">
        <v>141</v>
      </c>
      <c r="C75" s="2589" t="s">
        <v>1675</v>
      </c>
      <c r="D75" s="2590"/>
      <c r="E75" s="2590"/>
      <c r="F75" s="2591"/>
      <c r="G75" s="2590" t="s">
        <v>1910</v>
      </c>
      <c r="H75" s="2590"/>
      <c r="I75" s="2590"/>
      <c r="J75" s="2590"/>
      <c r="K75" s="2590"/>
      <c r="L75" s="2590"/>
      <c r="M75" s="3130"/>
      <c r="N75" s="2592"/>
      <c r="O75" s="2592"/>
      <c r="P75" s="2593">
        <f t="shared" si="4"/>
        <v>0</v>
      </c>
      <c r="Q75" s="2592"/>
      <c r="R75" s="2592">
        <v>0</v>
      </c>
      <c r="S75" s="2592"/>
      <c r="T75" s="2592"/>
      <c r="U75" s="2592"/>
      <c r="V75" s="2487"/>
      <c r="W75" s="2530"/>
    </row>
    <row r="76" spans="1:23" s="2571" customFormat="1" ht="13.5" hidden="1" outlineLevel="1">
      <c r="A76" s="2532"/>
      <c r="B76" s="2572" t="s">
        <v>141</v>
      </c>
      <c r="C76" s="2572" t="s">
        <v>108</v>
      </c>
      <c r="D76" s="2573"/>
      <c r="E76" s="2573"/>
      <c r="F76" s="2574"/>
      <c r="G76" s="2573" t="s">
        <v>638</v>
      </c>
      <c r="H76" s="2573">
        <v>0</v>
      </c>
      <c r="I76" s="2573">
        <v>0</v>
      </c>
      <c r="J76" s="2573">
        <v>0</v>
      </c>
      <c r="K76" s="2573">
        <v>0</v>
      </c>
      <c r="L76" s="2573">
        <v>0</v>
      </c>
      <c r="M76" s="3127">
        <v>0</v>
      </c>
      <c r="N76" s="2575">
        <v>0</v>
      </c>
      <c r="O76" s="2575">
        <f>+[3]Hasiči!$A$41</f>
        <v>0</v>
      </c>
      <c r="P76" s="2576">
        <f t="shared" si="4"/>
        <v>0</v>
      </c>
      <c r="Q76" s="2575"/>
      <c r="R76" s="2575"/>
      <c r="S76" s="2575"/>
      <c r="T76" s="2575"/>
      <c r="U76" s="2575"/>
      <c r="V76" s="2487"/>
      <c r="W76" s="2530"/>
    </row>
    <row r="77" spans="1:23" s="2571" customFormat="1" ht="13.9" outlineLevel="1" thickBot="1">
      <c r="A77" s="2533">
        <v>5512</v>
      </c>
      <c r="B77" s="2572" t="s">
        <v>141</v>
      </c>
      <c r="C77" s="2572" t="s">
        <v>108</v>
      </c>
      <c r="D77" s="2573"/>
      <c r="E77" s="2573"/>
      <c r="F77" s="2574"/>
      <c r="G77" s="2573" t="s">
        <v>638</v>
      </c>
      <c r="H77" s="2573">
        <v>0</v>
      </c>
      <c r="I77" s="2573">
        <v>0</v>
      </c>
      <c r="J77" s="2573">
        <v>0</v>
      </c>
      <c r="K77" s="2573">
        <v>0</v>
      </c>
      <c r="L77" s="2573">
        <v>0</v>
      </c>
      <c r="M77" s="3127">
        <v>0</v>
      </c>
      <c r="N77" s="2575">
        <v>0</v>
      </c>
      <c r="O77" s="2575">
        <f>+[2]Hasiči!$B$83</f>
        <v>0</v>
      </c>
      <c r="P77" s="2576">
        <f t="shared" si="4"/>
        <v>0</v>
      </c>
      <c r="Q77" s="2575"/>
      <c r="R77" s="2575"/>
      <c r="S77" s="2575"/>
      <c r="T77" s="2575"/>
      <c r="U77" s="2575"/>
      <c r="V77" s="2487"/>
      <c r="W77" s="2530"/>
    </row>
    <row r="78" spans="1:23" ht="13.9" thickBot="1">
      <c r="A78" s="3276" t="s">
        <v>645</v>
      </c>
      <c r="B78" s="3277"/>
      <c r="C78" s="2523"/>
      <c r="D78" s="2524"/>
      <c r="E78" s="2524"/>
      <c r="F78" s="2525"/>
      <c r="G78" s="2524" t="s">
        <v>638</v>
      </c>
      <c r="H78" s="2524">
        <v>0</v>
      </c>
      <c r="I78" s="2524">
        <v>0</v>
      </c>
      <c r="J78" s="2524">
        <v>0</v>
      </c>
      <c r="K78" s="2524">
        <v>0</v>
      </c>
      <c r="L78" s="2524">
        <v>0</v>
      </c>
      <c r="M78" s="3123">
        <v>0</v>
      </c>
      <c r="N78" s="2526">
        <v>0</v>
      </c>
      <c r="O78" s="2526">
        <f>SUM(O74:O77)</f>
        <v>45000</v>
      </c>
      <c r="P78" s="2527">
        <f t="shared" si="4"/>
        <v>45000</v>
      </c>
      <c r="Q78" s="2528"/>
      <c r="R78" s="2528">
        <f>SUM(R74:R77)</f>
        <v>0</v>
      </c>
      <c r="S78" s="2528"/>
      <c r="T78" s="2528"/>
      <c r="U78" s="2528"/>
      <c r="V78" s="2529">
        <f>'Výdaje kapitol celkem'!AR72</f>
        <v>45000</v>
      </c>
      <c r="W78" s="2530">
        <f>+V78-O78</f>
        <v>0</v>
      </c>
    </row>
    <row r="79" spans="1:23" s="2571" customFormat="1" ht="26.65" outlineLevel="1">
      <c r="A79" s="2532"/>
      <c r="B79" s="2565" t="s">
        <v>144</v>
      </c>
      <c r="C79" s="2565" t="s">
        <v>1680</v>
      </c>
      <c r="D79" s="2566"/>
      <c r="E79" s="2566"/>
      <c r="F79" s="2567"/>
      <c r="G79" s="2566" t="s">
        <v>638</v>
      </c>
      <c r="H79" s="2566">
        <v>0</v>
      </c>
      <c r="I79" s="2566">
        <v>0</v>
      </c>
      <c r="J79" s="2566">
        <v>0</v>
      </c>
      <c r="K79" s="2566">
        <v>0</v>
      </c>
      <c r="L79" s="2566">
        <v>0</v>
      </c>
      <c r="M79" s="3126">
        <v>0</v>
      </c>
      <c r="N79" s="2570">
        <v>0</v>
      </c>
      <c r="O79" s="2570">
        <f>+[3]Hřbitov!$B$33</f>
        <v>15000</v>
      </c>
      <c r="P79" s="2569">
        <f t="shared" si="4"/>
        <v>15000</v>
      </c>
      <c r="Q79" s="2570"/>
      <c r="R79" s="2570"/>
      <c r="S79" s="2570"/>
      <c r="T79" s="2570"/>
      <c r="U79" s="2570"/>
      <c r="V79" s="2487"/>
      <c r="W79" s="2530"/>
    </row>
    <row r="80" spans="1:23" s="2571" customFormat="1" ht="13.5" outlineLevel="1">
      <c r="A80" s="2532"/>
      <c r="B80" s="2572" t="s">
        <v>144</v>
      </c>
      <c r="C80" s="2572" t="s">
        <v>1681</v>
      </c>
      <c r="D80" s="2573"/>
      <c r="E80" s="2573"/>
      <c r="F80" s="2574"/>
      <c r="G80" s="2573" t="s">
        <v>638</v>
      </c>
      <c r="H80" s="2573">
        <v>80000</v>
      </c>
      <c r="I80" s="2573">
        <v>80000</v>
      </c>
      <c r="J80" s="2573">
        <v>80000</v>
      </c>
      <c r="K80" s="2573">
        <v>80000</v>
      </c>
      <c r="L80" s="2573">
        <v>80000</v>
      </c>
      <c r="M80" s="3127">
        <v>80000</v>
      </c>
      <c r="N80" s="2575">
        <v>95000</v>
      </c>
      <c r="O80" s="2575">
        <f>+[3]Hřbitov!$B$34</f>
        <v>80000</v>
      </c>
      <c r="P80" s="2576">
        <f t="shared" si="4"/>
        <v>-15000</v>
      </c>
      <c r="Q80" s="2575"/>
      <c r="R80" s="2575"/>
      <c r="S80" s="2575"/>
      <c r="T80" s="2575"/>
      <c r="U80" s="2575"/>
      <c r="V80" s="2487"/>
      <c r="W80" s="2530"/>
    </row>
    <row r="81" spans="1:23" s="2571" customFormat="1" ht="13.9" outlineLevel="1" thickBot="1">
      <c r="A81" s="2533">
        <v>3632</v>
      </c>
      <c r="B81" s="2585" t="s">
        <v>144</v>
      </c>
      <c r="C81" s="2585"/>
      <c r="D81" s="2581"/>
      <c r="E81" s="2581"/>
      <c r="F81" s="2582"/>
      <c r="G81" s="2581" t="s">
        <v>638</v>
      </c>
      <c r="H81" s="2581"/>
      <c r="I81" s="2581"/>
      <c r="J81" s="2581"/>
      <c r="K81" s="2581"/>
      <c r="L81" s="2581"/>
      <c r="M81" s="3128"/>
      <c r="N81" s="2583"/>
      <c r="O81" s="2583"/>
      <c r="P81" s="2584">
        <f t="shared" si="4"/>
        <v>0</v>
      </c>
      <c r="Q81" s="2583"/>
      <c r="R81" s="2583"/>
      <c r="S81" s="2583"/>
      <c r="T81" s="2583"/>
      <c r="U81" s="2583"/>
      <c r="V81" s="2487"/>
      <c r="W81" s="2530"/>
    </row>
    <row r="82" spans="1:23" ht="13.9" thickBot="1">
      <c r="A82" s="3276" t="s">
        <v>253</v>
      </c>
      <c r="B82" s="3277"/>
      <c r="C82" s="2523"/>
      <c r="D82" s="2524"/>
      <c r="E82" s="2524"/>
      <c r="F82" s="2525"/>
      <c r="G82" s="2524"/>
      <c r="H82" s="2524">
        <v>80000</v>
      </c>
      <c r="I82" s="2524">
        <v>80000</v>
      </c>
      <c r="J82" s="2524">
        <v>80000</v>
      </c>
      <c r="K82" s="2524">
        <v>80000</v>
      </c>
      <c r="L82" s="2524">
        <v>80000</v>
      </c>
      <c r="M82" s="3123">
        <v>80000</v>
      </c>
      <c r="N82" s="2526">
        <v>95000</v>
      </c>
      <c r="O82" s="2526">
        <f>SUM(O79:O81)</f>
        <v>95000</v>
      </c>
      <c r="P82" s="2527">
        <f t="shared" si="4"/>
        <v>0</v>
      </c>
      <c r="Q82" s="2528"/>
      <c r="R82" s="2528">
        <f>SUM(R79:R81)</f>
        <v>0</v>
      </c>
      <c r="S82" s="2528"/>
      <c r="T82" s="2528"/>
      <c r="U82" s="2528"/>
      <c r="V82" s="2529">
        <f>'Výdaje kapitol celkem'!AU72</f>
        <v>95000</v>
      </c>
      <c r="W82" s="2530">
        <f>+V82-O82</f>
        <v>0</v>
      </c>
    </row>
    <row r="83" spans="1:23" s="2571" customFormat="1" ht="16.5" hidden="1" customHeight="1" outlineLevel="1">
      <c r="A83" s="2532"/>
      <c r="B83" s="2565" t="s">
        <v>499</v>
      </c>
      <c r="C83" s="2565" t="s">
        <v>2232</v>
      </c>
      <c r="D83" s="2566"/>
      <c r="E83" s="2566"/>
      <c r="F83" s="2567"/>
      <c r="G83" s="2566" t="s">
        <v>638</v>
      </c>
      <c r="H83" s="2566">
        <v>0</v>
      </c>
      <c r="I83" s="2566">
        <v>0</v>
      </c>
      <c r="J83" s="2566">
        <v>0</v>
      </c>
      <c r="K83" s="2566">
        <v>0</v>
      </c>
      <c r="L83" s="2566">
        <v>0</v>
      </c>
      <c r="M83" s="3126">
        <v>0</v>
      </c>
      <c r="N83" s="2570"/>
      <c r="O83" s="2570"/>
      <c r="P83" s="2569">
        <f t="shared" si="4"/>
        <v>0</v>
      </c>
      <c r="Q83" s="2570"/>
      <c r="R83" s="2570"/>
      <c r="S83" s="2570"/>
      <c r="T83" s="2570"/>
      <c r="U83" s="2570"/>
      <c r="V83" s="2487"/>
      <c r="W83" s="2530"/>
    </row>
    <row r="84" spans="1:23" s="2571" customFormat="1" ht="16.5" hidden="1" customHeight="1" outlineLevel="1">
      <c r="A84" s="2532"/>
      <c r="B84" s="2565" t="s">
        <v>499</v>
      </c>
      <c r="C84" s="2572" t="s">
        <v>2233</v>
      </c>
      <c r="D84" s="2573"/>
      <c r="E84" s="2573"/>
      <c r="F84" s="2574"/>
      <c r="G84" s="2573" t="s">
        <v>638</v>
      </c>
      <c r="H84" s="2573">
        <v>0</v>
      </c>
      <c r="I84" s="2573">
        <v>0</v>
      </c>
      <c r="J84" s="2573">
        <v>0</v>
      </c>
      <c r="K84" s="2573">
        <v>0</v>
      </c>
      <c r="L84" s="2573">
        <v>0</v>
      </c>
      <c r="M84" s="3127">
        <v>0</v>
      </c>
      <c r="N84" s="2575"/>
      <c r="O84" s="2575"/>
      <c r="P84" s="2576">
        <f t="shared" si="4"/>
        <v>0</v>
      </c>
      <c r="Q84" s="2575"/>
      <c r="R84" s="2575"/>
      <c r="S84" s="2575"/>
      <c r="T84" s="2575"/>
      <c r="U84" s="2575"/>
      <c r="V84" s="2487"/>
      <c r="W84" s="2530"/>
    </row>
    <row r="85" spans="1:23" s="2571" customFormat="1" ht="16.5" hidden="1" customHeight="1" outlineLevel="1">
      <c r="A85" s="2532"/>
      <c r="B85" s="2565" t="s">
        <v>499</v>
      </c>
      <c r="C85" s="2572" t="s">
        <v>2234</v>
      </c>
      <c r="D85" s="2573"/>
      <c r="E85" s="2573"/>
      <c r="F85" s="2574"/>
      <c r="G85" s="2573" t="s">
        <v>638</v>
      </c>
      <c r="H85" s="2566">
        <v>0</v>
      </c>
      <c r="I85" s="2566">
        <v>0</v>
      </c>
      <c r="J85" s="2566">
        <v>0</v>
      </c>
      <c r="K85" s="2566">
        <v>0</v>
      </c>
      <c r="L85" s="2566">
        <v>0</v>
      </c>
      <c r="M85" s="3126">
        <v>0</v>
      </c>
      <c r="N85" s="2570"/>
      <c r="O85" s="2570"/>
      <c r="P85" s="2569">
        <f t="shared" si="4"/>
        <v>0</v>
      </c>
      <c r="Q85" s="2570"/>
      <c r="R85" s="2570"/>
      <c r="S85" s="2570"/>
      <c r="T85" s="2570"/>
      <c r="U85" s="2570"/>
      <c r="V85" s="2487"/>
      <c r="W85" s="2530"/>
    </row>
    <row r="86" spans="1:23" s="2571" customFormat="1" ht="16.5" hidden="1" customHeight="1" outlineLevel="1">
      <c r="A86" s="2532"/>
      <c r="B86" s="2565" t="s">
        <v>499</v>
      </c>
      <c r="C86" s="2572" t="s">
        <v>2984</v>
      </c>
      <c r="D86" s="2573"/>
      <c r="E86" s="2573"/>
      <c r="F86" s="2574"/>
      <c r="G86" s="2573" t="s">
        <v>638</v>
      </c>
      <c r="H86" s="2566">
        <v>0</v>
      </c>
      <c r="I86" s="2566">
        <v>0</v>
      </c>
      <c r="J86" s="2566">
        <v>0</v>
      </c>
      <c r="K86" s="2566">
        <v>0</v>
      </c>
      <c r="L86" s="2566">
        <v>0</v>
      </c>
      <c r="M86" s="3126">
        <v>0</v>
      </c>
      <c r="N86" s="2570"/>
      <c r="O86" s="2570"/>
      <c r="P86" s="2569">
        <f t="shared" si="4"/>
        <v>0</v>
      </c>
      <c r="Q86" s="2570"/>
      <c r="R86" s="2570"/>
      <c r="S86" s="2570"/>
      <c r="T86" s="2570"/>
      <c r="U86" s="2570"/>
      <c r="V86" s="2487"/>
      <c r="W86" s="2530"/>
    </row>
    <row r="87" spans="1:23" s="2571" customFormat="1" ht="16.5" customHeight="1" outlineLevel="1">
      <c r="A87" s="2532"/>
      <c r="B87" s="2565" t="s">
        <v>499</v>
      </c>
      <c r="C87" s="2572" t="s">
        <v>1141</v>
      </c>
      <c r="D87" s="2573"/>
      <c r="E87" s="2573"/>
      <c r="F87" s="2574"/>
      <c r="G87" s="2573" t="s">
        <v>638</v>
      </c>
      <c r="H87" s="2566">
        <v>29400000</v>
      </c>
      <c r="I87" s="2566">
        <v>29400000</v>
      </c>
      <c r="J87" s="2566">
        <v>29400000</v>
      </c>
      <c r="K87" s="2566">
        <v>23600000</v>
      </c>
      <c r="L87" s="2566">
        <v>23600000</v>
      </c>
      <c r="M87" s="3126">
        <v>23600000</v>
      </c>
      <c r="N87" s="2568">
        <v>3435957</v>
      </c>
      <c r="O87" s="2568"/>
      <c r="P87" s="2569">
        <f t="shared" si="4"/>
        <v>-3435957</v>
      </c>
      <c r="Q87" s="2570"/>
      <c r="R87" s="2570"/>
      <c r="S87" s="2570"/>
      <c r="T87" s="2570"/>
      <c r="U87" s="2570"/>
      <c r="V87" s="2487"/>
      <c r="W87" s="2530"/>
    </row>
    <row r="88" spans="1:23" s="2571" customFormat="1" ht="16.5" hidden="1" customHeight="1" outlineLevel="1">
      <c r="A88" s="2532"/>
      <c r="B88" s="2565" t="s">
        <v>499</v>
      </c>
      <c r="C88" s="2572" t="s">
        <v>2235</v>
      </c>
      <c r="D88" s="2573"/>
      <c r="E88" s="2573"/>
      <c r="F88" s="2574"/>
      <c r="G88" s="2573" t="s">
        <v>638</v>
      </c>
      <c r="H88" s="2566">
        <v>0</v>
      </c>
      <c r="I88" s="2566">
        <v>0</v>
      </c>
      <c r="J88" s="2566">
        <v>0</v>
      </c>
      <c r="K88" s="2566">
        <v>0</v>
      </c>
      <c r="L88" s="2566">
        <v>0</v>
      </c>
      <c r="M88" s="3126">
        <v>0</v>
      </c>
      <c r="N88" s="2570"/>
      <c r="O88" s="2570"/>
      <c r="P88" s="2569">
        <f t="shared" si="4"/>
        <v>0</v>
      </c>
      <c r="Q88" s="2570"/>
      <c r="R88" s="2570"/>
      <c r="S88" s="2570"/>
      <c r="T88" s="2570"/>
      <c r="U88" s="2570"/>
      <c r="V88" s="2487"/>
      <c r="W88" s="2530"/>
    </row>
    <row r="89" spans="1:23" s="2571" customFormat="1" ht="16.5" hidden="1" customHeight="1" outlineLevel="1">
      <c r="A89" s="2532"/>
      <c r="B89" s="2565" t="s">
        <v>499</v>
      </c>
      <c r="C89" s="2572" t="s">
        <v>2229</v>
      </c>
      <c r="D89" s="2573"/>
      <c r="E89" s="2573"/>
      <c r="F89" s="2574"/>
      <c r="G89" s="2573" t="s">
        <v>638</v>
      </c>
      <c r="H89" s="2566"/>
      <c r="I89" s="2566"/>
      <c r="J89" s="2566"/>
      <c r="K89" s="2566"/>
      <c r="L89" s="2566"/>
      <c r="M89" s="3126"/>
      <c r="N89" s="2570"/>
      <c r="O89" s="2570"/>
      <c r="P89" s="2569">
        <f t="shared" si="4"/>
        <v>0</v>
      </c>
      <c r="Q89" s="2570"/>
      <c r="R89" s="2570"/>
      <c r="S89" s="2570"/>
      <c r="T89" s="2570"/>
      <c r="U89" s="2570"/>
      <c r="V89" s="2487"/>
      <c r="W89" s="2530"/>
    </row>
    <row r="90" spans="1:23" s="2571" customFormat="1" ht="16.5" hidden="1" customHeight="1" outlineLevel="1">
      <c r="A90" s="2532"/>
      <c r="B90" s="2572" t="s">
        <v>499</v>
      </c>
      <c r="C90" s="2572" t="s">
        <v>1911</v>
      </c>
      <c r="D90" s="2573"/>
      <c r="E90" s="2573"/>
      <c r="F90" s="2574"/>
      <c r="G90" s="2573" t="s">
        <v>638</v>
      </c>
      <c r="H90" s="2573"/>
      <c r="I90" s="2573"/>
      <c r="J90" s="2573"/>
      <c r="K90" s="2573"/>
      <c r="L90" s="2573"/>
      <c r="M90" s="3127"/>
      <c r="N90" s="2575"/>
      <c r="O90" s="2575"/>
      <c r="P90" s="2576">
        <f t="shared" si="4"/>
        <v>0</v>
      </c>
      <c r="Q90" s="2575"/>
      <c r="R90" s="2575"/>
      <c r="S90" s="2575"/>
      <c r="T90" s="2575"/>
      <c r="U90" s="2575"/>
      <c r="V90" s="2487"/>
      <c r="W90" s="2530"/>
    </row>
    <row r="91" spans="1:23" s="2571" customFormat="1" ht="16.5" customHeight="1" outlineLevel="1">
      <c r="A91" s="2532"/>
      <c r="B91" s="2565" t="s">
        <v>499</v>
      </c>
      <c r="C91" s="2572" t="s">
        <v>1912</v>
      </c>
      <c r="D91" s="2573"/>
      <c r="E91" s="2573"/>
      <c r="F91" s="2574"/>
      <c r="G91" s="2573" t="s">
        <v>638</v>
      </c>
      <c r="H91" s="2573">
        <v>5000000</v>
      </c>
      <c r="I91" s="2573">
        <v>5000000</v>
      </c>
      <c r="J91" s="2573">
        <v>500000</v>
      </c>
      <c r="K91" s="2573">
        <v>500000</v>
      </c>
      <c r="L91" s="2573">
        <v>500000</v>
      </c>
      <c r="M91" s="3127">
        <v>500000</v>
      </c>
      <c r="N91" s="2575">
        <v>500000</v>
      </c>
      <c r="O91" s="2575">
        <f>+'[3]Všeob. pokladna'!$B$54</f>
        <v>566000</v>
      </c>
      <c r="P91" s="2576">
        <f t="shared" si="4"/>
        <v>66000</v>
      </c>
      <c r="Q91" s="2575"/>
      <c r="R91" s="2575"/>
      <c r="S91" s="2575"/>
      <c r="T91" s="2575"/>
      <c r="U91" s="2575"/>
      <c r="V91" s="2487"/>
      <c r="W91" s="2530"/>
    </row>
    <row r="92" spans="1:23" s="2571" customFormat="1" ht="16.5" customHeight="1" outlineLevel="1">
      <c r="A92" s="2532"/>
      <c r="B92" s="2565" t="s">
        <v>499</v>
      </c>
      <c r="C92" s="2572" t="s">
        <v>2289</v>
      </c>
      <c r="D92" s="2573"/>
      <c r="E92" s="2573"/>
      <c r="F92" s="2574"/>
      <c r="G92" s="2573" t="s">
        <v>638</v>
      </c>
      <c r="H92" s="2573">
        <v>0</v>
      </c>
      <c r="I92" s="2573">
        <v>0</v>
      </c>
      <c r="J92" s="2573">
        <v>5800000</v>
      </c>
      <c r="K92" s="2573">
        <v>5800000</v>
      </c>
      <c r="L92" s="2573">
        <v>5800000</v>
      </c>
      <c r="M92" s="3127">
        <v>5800000</v>
      </c>
      <c r="N92" s="2575">
        <v>5800000</v>
      </c>
      <c r="O92" s="2575">
        <f>+'[3]Všeob. pokladna'!$B$55</f>
        <v>5800000</v>
      </c>
      <c r="P92" s="2576">
        <f t="shared" si="4"/>
        <v>0</v>
      </c>
      <c r="Q92" s="2575"/>
      <c r="R92" s="2575"/>
      <c r="S92" s="2575"/>
      <c r="T92" s="2575"/>
      <c r="U92" s="2575"/>
      <c r="V92" s="2487"/>
      <c r="W92" s="2530"/>
    </row>
    <row r="93" spans="1:23" s="2571" customFormat="1" ht="16.5" customHeight="1" outlineLevel="1" thickBot="1">
      <c r="A93" s="2533">
        <v>6409</v>
      </c>
      <c r="B93" s="2585" t="s">
        <v>499</v>
      </c>
      <c r="C93" s="2585" t="s">
        <v>2284</v>
      </c>
      <c r="D93" s="2581"/>
      <c r="E93" s="2581"/>
      <c r="F93" s="2582"/>
      <c r="G93" s="2581" t="s">
        <v>638</v>
      </c>
      <c r="H93" s="2581">
        <v>7560000</v>
      </c>
      <c r="I93" s="2581">
        <v>7560000</v>
      </c>
      <c r="J93" s="2581">
        <v>0</v>
      </c>
      <c r="K93" s="2581">
        <v>0</v>
      </c>
      <c r="L93" s="2581">
        <v>0</v>
      </c>
      <c r="M93" s="3128">
        <v>0</v>
      </c>
      <c r="N93" s="2583"/>
      <c r="O93" s="2583"/>
      <c r="P93" s="2584">
        <f t="shared" si="4"/>
        <v>0</v>
      </c>
      <c r="Q93" s="2583"/>
      <c r="R93" s="2583"/>
      <c r="S93" s="2583"/>
      <c r="T93" s="2583"/>
      <c r="U93" s="2583"/>
      <c r="V93" s="2487"/>
      <c r="W93" s="2530"/>
    </row>
    <row r="94" spans="1:23" ht="13.9" thickBot="1">
      <c r="A94" s="3276" t="s">
        <v>646</v>
      </c>
      <c r="B94" s="3277"/>
      <c r="C94" s="2523"/>
      <c r="D94" s="2524"/>
      <c r="E94" s="2524"/>
      <c r="F94" s="2525"/>
      <c r="G94" s="2524"/>
      <c r="H94" s="2524">
        <v>41960000</v>
      </c>
      <c r="I94" s="2524">
        <v>41960000</v>
      </c>
      <c r="J94" s="2524">
        <v>35700000</v>
      </c>
      <c r="K94" s="2524">
        <v>29900000</v>
      </c>
      <c r="L94" s="2524">
        <v>29900000</v>
      </c>
      <c r="M94" s="3123">
        <v>34429500</v>
      </c>
      <c r="N94" s="2526">
        <f>SUM(N83:N93)</f>
        <v>9735957</v>
      </c>
      <c r="O94" s="2526">
        <f>SUM(O83:O93)</f>
        <v>6366000</v>
      </c>
      <c r="P94" s="2527">
        <f t="shared" si="4"/>
        <v>-3369957</v>
      </c>
      <c r="Q94" s="2528"/>
      <c r="R94" s="2528">
        <f>SUM(R83:R93)</f>
        <v>0</v>
      </c>
      <c r="S94" s="2528"/>
      <c r="T94" s="2528"/>
      <c r="U94" s="2528"/>
      <c r="V94" s="2529">
        <f>'Výdaje kapitol celkem'!P60+'Výdaje kapitol celkem'!P61+'Výdaje kapitol celkem'!P62+'Výdaje kapitol celkem'!P63+'Výdaje kapitol celkem'!P64+'Výdaje kapitol celkem'!P65+'Výdaje kapitol celkem'!P66+'Výdaje kapitol celkem'!P67+'Výdaje kapitol celkem'!P68+'Výdaje kapitol celkem'!P69</f>
        <v>6366000</v>
      </c>
      <c r="W94" s="2530">
        <f>+V94-O94</f>
        <v>0</v>
      </c>
    </row>
    <row r="95" spans="1:23" s="2571" customFormat="1" ht="12" hidden="1" customHeight="1" outlineLevel="1">
      <c r="A95" s="2532"/>
      <c r="B95" s="2565" t="s">
        <v>1185</v>
      </c>
      <c r="C95" s="2565"/>
      <c r="D95" s="2566"/>
      <c r="E95" s="2566"/>
      <c r="F95" s="2567"/>
      <c r="G95" s="2566" t="s">
        <v>638</v>
      </c>
      <c r="H95" s="2566"/>
      <c r="I95" s="2566"/>
      <c r="J95" s="2566"/>
      <c r="K95" s="2566"/>
      <c r="L95" s="2566"/>
      <c r="M95" s="3126"/>
      <c r="N95" s="2570"/>
      <c r="O95" s="2570"/>
      <c r="P95" s="2569">
        <f t="shared" si="4"/>
        <v>0</v>
      </c>
      <c r="Q95" s="2570"/>
      <c r="R95" s="2570"/>
      <c r="S95" s="2570"/>
      <c r="T95" s="2570"/>
      <c r="U95" s="2570"/>
      <c r="V95" s="2487"/>
      <c r="W95" s="2530"/>
    </row>
    <row r="96" spans="1:23" s="2571" customFormat="1" ht="12" hidden="1" customHeight="1" outlineLevel="1">
      <c r="A96" s="2532"/>
      <c r="B96" s="2565" t="s">
        <v>1185</v>
      </c>
      <c r="C96" s="2565"/>
      <c r="D96" s="2566"/>
      <c r="E96" s="2566"/>
      <c r="F96" s="2567"/>
      <c r="G96" s="2566" t="s">
        <v>638</v>
      </c>
      <c r="H96" s="2566"/>
      <c r="I96" s="2566"/>
      <c r="J96" s="2566"/>
      <c r="K96" s="2566"/>
      <c r="L96" s="2566"/>
      <c r="M96" s="3126"/>
      <c r="N96" s="2570"/>
      <c r="O96" s="2570"/>
      <c r="P96" s="2569">
        <f t="shared" si="4"/>
        <v>0</v>
      </c>
      <c r="Q96" s="2570"/>
      <c r="R96" s="2570"/>
      <c r="S96" s="2570"/>
      <c r="T96" s="2570"/>
      <c r="U96" s="2570"/>
      <c r="V96" s="2487"/>
      <c r="W96" s="2530"/>
    </row>
    <row r="97" spans="1:23" s="2571" customFormat="1" ht="12" hidden="1" customHeight="1" outlineLevel="1" thickBot="1">
      <c r="A97" s="2533" t="s">
        <v>181</v>
      </c>
      <c r="B97" s="2565" t="s">
        <v>1185</v>
      </c>
      <c r="C97" s="2565"/>
      <c r="D97" s="2566"/>
      <c r="E97" s="2566"/>
      <c r="F97" s="2567"/>
      <c r="G97" s="2566" t="s">
        <v>638</v>
      </c>
      <c r="H97" s="2566"/>
      <c r="I97" s="2566"/>
      <c r="J97" s="2566"/>
      <c r="K97" s="2566"/>
      <c r="L97" s="2566"/>
      <c r="M97" s="3126"/>
      <c r="N97" s="2570"/>
      <c r="O97" s="2570"/>
      <c r="P97" s="2569">
        <f t="shared" si="4"/>
        <v>0</v>
      </c>
      <c r="Q97" s="2570"/>
      <c r="R97" s="2570"/>
      <c r="S97" s="2570"/>
      <c r="T97" s="2570"/>
      <c r="U97" s="2570"/>
      <c r="V97" s="2487"/>
      <c r="W97" s="2530"/>
    </row>
    <row r="98" spans="1:23" ht="13.9" collapsed="1" thickBot="1">
      <c r="A98" s="3276" t="s">
        <v>1184</v>
      </c>
      <c r="B98" s="3277"/>
      <c r="C98" s="2523"/>
      <c r="D98" s="2524"/>
      <c r="E98" s="2524"/>
      <c r="F98" s="2525"/>
      <c r="G98" s="2524" t="s">
        <v>638</v>
      </c>
      <c r="H98" s="2524">
        <v>0</v>
      </c>
      <c r="I98" s="2524">
        <v>0</v>
      </c>
      <c r="J98" s="2524">
        <v>0</v>
      </c>
      <c r="K98" s="2524">
        <v>0</v>
      </c>
      <c r="L98" s="2524">
        <v>0</v>
      </c>
      <c r="M98" s="3123">
        <v>0</v>
      </c>
      <c r="N98" s="2526">
        <v>0</v>
      </c>
      <c r="O98" s="2526">
        <f>SUM(O95:O97)</f>
        <v>0</v>
      </c>
      <c r="P98" s="2527">
        <f t="shared" si="4"/>
        <v>0</v>
      </c>
      <c r="Q98" s="2528"/>
      <c r="R98" s="2528">
        <f t="shared" ref="R98" si="6">SUM(R95:R97)</f>
        <v>0</v>
      </c>
      <c r="S98" s="2528"/>
      <c r="T98" s="2528"/>
      <c r="U98" s="2528"/>
      <c r="V98" s="2529">
        <f>'Výdaje kapitol celkem'!DG72</f>
        <v>0</v>
      </c>
      <c r="W98" s="2530">
        <f>+V98-O98</f>
        <v>0</v>
      </c>
    </row>
    <row r="99" spans="1:23" s="2571" customFormat="1" ht="12" customHeight="1" outlineLevel="1">
      <c r="A99" s="2532"/>
      <c r="B99" s="2565" t="s">
        <v>159</v>
      </c>
      <c r="C99" s="2565" t="s">
        <v>2231</v>
      </c>
      <c r="D99" s="2566"/>
      <c r="E99" s="2566"/>
      <c r="F99" s="2567"/>
      <c r="G99" s="2566" t="s">
        <v>638</v>
      </c>
      <c r="H99" s="2566">
        <v>150000</v>
      </c>
      <c r="I99" s="2566">
        <v>150000</v>
      </c>
      <c r="J99" s="2566">
        <v>150000</v>
      </c>
      <c r="K99" s="2566">
        <v>150000</v>
      </c>
      <c r="L99" s="2566">
        <v>150000</v>
      </c>
      <c r="M99" s="3126">
        <v>150000</v>
      </c>
      <c r="N99" s="2570">
        <v>150000</v>
      </c>
      <c r="O99" s="2570">
        <f>+'[5]Příroda 3749'!$B$34</f>
        <v>100000</v>
      </c>
      <c r="P99" s="2569">
        <f t="shared" si="4"/>
        <v>-50000</v>
      </c>
      <c r="Q99" s="2570"/>
      <c r="R99" s="2570"/>
      <c r="S99" s="2570"/>
      <c r="T99" s="2570"/>
      <c r="U99" s="2570"/>
      <c r="V99" s="2487"/>
      <c r="W99" s="2530"/>
    </row>
    <row r="100" spans="1:23" s="2571" customFormat="1" ht="12" customHeight="1" outlineLevel="1" thickBot="1">
      <c r="A100" s="2533">
        <v>3749</v>
      </c>
      <c r="B100" s="2585" t="s">
        <v>159</v>
      </c>
      <c r="C100" s="2585"/>
      <c r="D100" s="2581"/>
      <c r="E100" s="2581"/>
      <c r="F100" s="2582"/>
      <c r="G100" s="2581" t="s">
        <v>638</v>
      </c>
      <c r="H100" s="2581">
        <v>0</v>
      </c>
      <c r="I100" s="2581">
        <v>0</v>
      </c>
      <c r="J100" s="2581">
        <v>0</v>
      </c>
      <c r="K100" s="2581">
        <v>0</v>
      </c>
      <c r="L100" s="2581">
        <v>0</v>
      </c>
      <c r="M100" s="3128">
        <v>0</v>
      </c>
      <c r="N100" s="2583">
        <v>0</v>
      </c>
      <c r="O100" s="2583">
        <f>+'[5]Příroda 3749'!$B$35</f>
        <v>0</v>
      </c>
      <c r="P100" s="2584">
        <f t="shared" si="4"/>
        <v>0</v>
      </c>
      <c r="Q100" s="2583"/>
      <c r="R100" s="2583"/>
      <c r="S100" s="2583"/>
      <c r="T100" s="2583"/>
      <c r="U100" s="2583"/>
      <c r="V100" s="2487"/>
      <c r="W100" s="2530"/>
    </row>
    <row r="101" spans="1:23" s="2571" customFormat="1" ht="12" customHeight="1" outlineLevel="1" thickBot="1">
      <c r="A101" s="2547"/>
      <c r="B101" s="3002"/>
      <c r="C101" s="2585"/>
      <c r="D101" s="2581"/>
      <c r="E101" s="2581"/>
      <c r="F101" s="2582"/>
      <c r="G101" s="2581"/>
      <c r="H101" s="2581"/>
      <c r="I101" s="2581"/>
      <c r="J101" s="2581"/>
      <c r="K101" s="2581"/>
      <c r="L101" s="2581"/>
      <c r="M101" s="3128"/>
      <c r="N101" s="2583"/>
      <c r="O101" s="2583"/>
      <c r="P101" s="2584">
        <f t="shared" si="4"/>
        <v>0</v>
      </c>
      <c r="Q101" s="2583"/>
      <c r="R101" s="2583"/>
      <c r="S101" s="2583"/>
      <c r="T101" s="2583"/>
      <c r="U101" s="2583"/>
      <c r="V101" s="2487"/>
      <c r="W101" s="2530"/>
    </row>
    <row r="102" spans="1:23" ht="13.9" thickBot="1">
      <c r="A102" s="3276" t="s">
        <v>624</v>
      </c>
      <c r="B102" s="3277"/>
      <c r="C102" s="2523"/>
      <c r="D102" s="2524"/>
      <c r="E102" s="2524"/>
      <c r="F102" s="2525"/>
      <c r="G102" s="2524"/>
      <c r="H102" s="2524">
        <v>150000</v>
      </c>
      <c r="I102" s="2524">
        <v>150000</v>
      </c>
      <c r="J102" s="2524">
        <v>150000</v>
      </c>
      <c r="K102" s="2524">
        <v>150000</v>
      </c>
      <c r="L102" s="2524">
        <v>150000</v>
      </c>
      <c r="M102" s="3123">
        <v>150000</v>
      </c>
      <c r="N102" s="2526">
        <v>150000</v>
      </c>
      <c r="O102" s="2526">
        <f>SUM(O99:O101)</f>
        <v>100000</v>
      </c>
      <c r="P102" s="2527">
        <f t="shared" si="4"/>
        <v>-50000</v>
      </c>
      <c r="Q102" s="2528"/>
      <c r="R102" s="2528">
        <f>SUM(R99:R100)</f>
        <v>0</v>
      </c>
      <c r="S102" s="2528"/>
      <c r="T102" s="2528"/>
      <c r="U102" s="2528"/>
      <c r="V102" s="2529">
        <f>'Výdaje kapitol celkem'!DN72</f>
        <v>100000</v>
      </c>
      <c r="W102" s="2530">
        <f>+V102-O102</f>
        <v>0</v>
      </c>
    </row>
    <row r="103" spans="1:23" s="2571" customFormat="1" ht="12" customHeight="1" outlineLevel="1">
      <c r="A103" s="2532"/>
      <c r="B103" s="2565" t="s">
        <v>294</v>
      </c>
      <c r="C103" s="2565" t="s">
        <v>294</v>
      </c>
      <c r="D103" s="2566"/>
      <c r="E103" s="2566"/>
      <c r="F103" s="2567"/>
      <c r="G103" s="2566" t="s">
        <v>638</v>
      </c>
      <c r="H103" s="2566">
        <v>0</v>
      </c>
      <c r="I103" s="2566">
        <v>0</v>
      </c>
      <c r="J103" s="2566">
        <v>0</v>
      </c>
      <c r="K103" s="2566">
        <v>0</v>
      </c>
      <c r="L103" s="2566">
        <v>0</v>
      </c>
      <c r="M103" s="3126">
        <v>0</v>
      </c>
      <c r="N103" s="2570">
        <v>0</v>
      </c>
      <c r="O103" s="2570">
        <f>+[4]Koupaliště!$B$4</f>
        <v>0</v>
      </c>
      <c r="P103" s="2569">
        <f t="shared" si="4"/>
        <v>0</v>
      </c>
      <c r="Q103" s="2570"/>
      <c r="R103" s="2570"/>
      <c r="S103" s="2570"/>
      <c r="T103" s="2570"/>
      <c r="U103" s="2570"/>
      <c r="V103" s="2487"/>
      <c r="W103" s="2530"/>
    </row>
    <row r="104" spans="1:23" s="2571" customFormat="1" ht="12" customHeight="1" outlineLevel="1">
      <c r="A104" s="2532"/>
      <c r="B104" s="2565" t="s">
        <v>294</v>
      </c>
      <c r="C104" s="2565" t="s">
        <v>2314</v>
      </c>
      <c r="D104" s="2566"/>
      <c r="E104" s="2566"/>
      <c r="F104" s="2567"/>
      <c r="G104" s="2566" t="s">
        <v>638</v>
      </c>
      <c r="H104" s="2566">
        <v>100000</v>
      </c>
      <c r="I104" s="2566">
        <v>100000</v>
      </c>
      <c r="J104" s="2566">
        <v>100000</v>
      </c>
      <c r="K104" s="2566">
        <v>100000</v>
      </c>
      <c r="L104" s="2566">
        <v>100000</v>
      </c>
      <c r="M104" s="3126">
        <v>100000</v>
      </c>
      <c r="N104" s="2570">
        <v>100000</v>
      </c>
      <c r="O104" s="2570">
        <f>+[3]koupaliště!$B$35</f>
        <v>255000</v>
      </c>
      <c r="P104" s="2569">
        <f t="shared" si="4"/>
        <v>155000</v>
      </c>
      <c r="Q104" s="2570"/>
      <c r="R104" s="2570"/>
      <c r="S104" s="2570"/>
      <c r="T104" s="2570"/>
      <c r="U104" s="2570"/>
      <c r="V104" s="2487"/>
      <c r="W104" s="2530"/>
    </row>
    <row r="105" spans="1:23" s="2571" customFormat="1" ht="15" customHeight="1" outlineLevel="1" thickBot="1">
      <c r="A105" s="2533">
        <v>3412</v>
      </c>
      <c r="B105" s="2565" t="s">
        <v>294</v>
      </c>
      <c r="C105" s="2594" t="s">
        <v>2552</v>
      </c>
      <c r="D105" s="2586"/>
      <c r="E105" s="2586"/>
      <c r="F105" s="2595"/>
      <c r="G105" s="2586" t="s">
        <v>638</v>
      </c>
      <c r="H105" s="2586">
        <v>0</v>
      </c>
      <c r="I105" s="2586">
        <v>0</v>
      </c>
      <c r="J105" s="2586">
        <v>0</v>
      </c>
      <c r="K105" s="2586">
        <v>0</v>
      </c>
      <c r="L105" s="2586">
        <v>115000</v>
      </c>
      <c r="M105" s="3129">
        <v>115000</v>
      </c>
      <c r="N105" s="2587">
        <v>115000</v>
      </c>
      <c r="O105" s="2587">
        <f>+[3]koupaliště!$B$36</f>
        <v>115000</v>
      </c>
      <c r="P105" s="2588">
        <f t="shared" si="4"/>
        <v>0</v>
      </c>
      <c r="Q105" s="2587"/>
      <c r="R105" s="2587"/>
      <c r="S105" s="2587"/>
      <c r="T105" s="2587"/>
      <c r="U105" s="2587"/>
      <c r="V105" s="2487"/>
      <c r="W105" s="2530"/>
    </row>
    <row r="106" spans="1:23" ht="13.9" thickBot="1">
      <c r="A106" s="3276" t="s">
        <v>625</v>
      </c>
      <c r="B106" s="3277"/>
      <c r="C106" s="2523"/>
      <c r="D106" s="2524"/>
      <c r="E106" s="2524"/>
      <c r="F106" s="2525"/>
      <c r="G106" s="2524"/>
      <c r="H106" s="2524">
        <v>100000</v>
      </c>
      <c r="I106" s="2524">
        <v>100000</v>
      </c>
      <c r="J106" s="2524">
        <v>100000</v>
      </c>
      <c r="K106" s="2524">
        <v>100000</v>
      </c>
      <c r="L106" s="2524">
        <v>215000</v>
      </c>
      <c r="M106" s="3123">
        <v>215000</v>
      </c>
      <c r="N106" s="2526">
        <v>215000</v>
      </c>
      <c r="O106" s="2526">
        <f>SUM(O103:O105)</f>
        <v>370000</v>
      </c>
      <c r="P106" s="2527">
        <f t="shared" si="4"/>
        <v>155000</v>
      </c>
      <c r="Q106" s="2528"/>
      <c r="R106" s="2528">
        <f>SUM(R105:R105)</f>
        <v>0</v>
      </c>
      <c r="S106" s="2528"/>
      <c r="T106" s="2528"/>
      <c r="U106" s="2528"/>
      <c r="V106" s="2529">
        <f>'Výdaje kapitol celkem'!AX72</f>
        <v>370000</v>
      </c>
      <c r="W106" s="2530">
        <f>+V106-O106</f>
        <v>0</v>
      </c>
    </row>
    <row r="107" spans="1:23" s="2571" customFormat="1" ht="12" hidden="1" customHeight="1" outlineLevel="1">
      <c r="A107" s="2596"/>
      <c r="B107" s="2515" t="s">
        <v>1171</v>
      </c>
      <c r="C107" s="2565" t="s">
        <v>1632</v>
      </c>
      <c r="D107" s="2566"/>
      <c r="E107" s="2566"/>
      <c r="F107" s="2567"/>
      <c r="G107" s="2566" t="s">
        <v>638</v>
      </c>
      <c r="H107" s="2566">
        <v>0</v>
      </c>
      <c r="I107" s="2566">
        <v>0</v>
      </c>
      <c r="J107" s="2566">
        <v>0</v>
      </c>
      <c r="K107" s="2566">
        <v>0</v>
      </c>
      <c r="L107" s="2566">
        <v>0</v>
      </c>
      <c r="M107" s="3126">
        <v>0</v>
      </c>
      <c r="N107" s="2570">
        <v>0</v>
      </c>
      <c r="O107" s="2570">
        <f>+[4]Hřiště!$B$4</f>
        <v>0</v>
      </c>
      <c r="P107" s="2569">
        <f t="shared" si="4"/>
        <v>0</v>
      </c>
      <c r="Q107" s="2570"/>
      <c r="R107" s="2570"/>
      <c r="S107" s="2570"/>
      <c r="T107" s="2570"/>
      <c r="U107" s="2570"/>
      <c r="V107" s="2487"/>
      <c r="W107" s="2530"/>
    </row>
    <row r="108" spans="1:23" s="2571" customFormat="1" ht="12" hidden="1" customHeight="1" outlineLevel="1">
      <c r="A108" s="2564"/>
      <c r="B108" s="2515" t="s">
        <v>1171</v>
      </c>
      <c r="C108" s="2565" t="s">
        <v>1633</v>
      </c>
      <c r="D108" s="2566"/>
      <c r="E108" s="2566"/>
      <c r="F108" s="2567"/>
      <c r="G108" s="2566" t="s">
        <v>638</v>
      </c>
      <c r="H108" s="2566">
        <v>0</v>
      </c>
      <c r="I108" s="2566">
        <v>0</v>
      </c>
      <c r="J108" s="2566">
        <v>0</v>
      </c>
      <c r="K108" s="2566">
        <v>0</v>
      </c>
      <c r="L108" s="2566">
        <v>0</v>
      </c>
      <c r="M108" s="3126">
        <v>0</v>
      </c>
      <c r="N108" s="2570">
        <v>0</v>
      </c>
      <c r="O108" s="2570">
        <f>+[4]Hřiště!$B$5</f>
        <v>0</v>
      </c>
      <c r="P108" s="2569">
        <f t="shared" si="4"/>
        <v>0</v>
      </c>
      <c r="Q108" s="2570"/>
      <c r="R108" s="2570"/>
      <c r="S108" s="2570"/>
      <c r="T108" s="2570"/>
      <c r="U108" s="2570"/>
      <c r="V108" s="2487"/>
      <c r="W108" s="2530"/>
    </row>
    <row r="109" spans="1:23" s="2571" customFormat="1" ht="12" hidden="1" customHeight="1" outlineLevel="1">
      <c r="A109" s="2564"/>
      <c r="B109" s="2515" t="s">
        <v>1171</v>
      </c>
      <c r="C109" s="2572"/>
      <c r="D109" s="2573"/>
      <c r="E109" s="2573"/>
      <c r="F109" s="2574"/>
      <c r="G109" s="2566" t="s">
        <v>638</v>
      </c>
      <c r="H109" s="2566"/>
      <c r="I109" s="2566"/>
      <c r="J109" s="2566"/>
      <c r="K109" s="2566"/>
      <c r="L109" s="2566"/>
      <c r="M109" s="3126"/>
      <c r="N109" s="2575"/>
      <c r="O109" s="2575"/>
      <c r="P109" s="2576">
        <f t="shared" si="4"/>
        <v>0</v>
      </c>
      <c r="Q109" s="2575"/>
      <c r="R109" s="2575"/>
      <c r="S109" s="2575"/>
      <c r="T109" s="2575"/>
      <c r="U109" s="2575"/>
      <c r="V109" s="2487"/>
      <c r="W109" s="2530"/>
    </row>
    <row r="110" spans="1:23" s="2571" customFormat="1" ht="12" hidden="1" customHeight="1" outlineLevel="1" thickBot="1">
      <c r="A110" s="2533" t="s">
        <v>1174</v>
      </c>
      <c r="B110" s="2553" t="s">
        <v>1171</v>
      </c>
      <c r="C110" s="2585"/>
      <c r="D110" s="2581"/>
      <c r="E110" s="2597"/>
      <c r="F110" s="2598"/>
      <c r="G110" s="2582" t="s">
        <v>638</v>
      </c>
      <c r="H110" s="2582"/>
      <c r="I110" s="2582"/>
      <c r="J110" s="2582"/>
      <c r="K110" s="2582"/>
      <c r="L110" s="2582"/>
      <c r="M110" s="3131"/>
      <c r="N110" s="2583"/>
      <c r="O110" s="2583"/>
      <c r="P110" s="2584">
        <f t="shared" si="4"/>
        <v>0</v>
      </c>
      <c r="Q110" s="2583"/>
      <c r="R110" s="2583"/>
      <c r="S110" s="2583"/>
      <c r="T110" s="2583"/>
      <c r="U110" s="2583"/>
      <c r="V110" s="2487"/>
      <c r="W110" s="2530"/>
    </row>
    <row r="111" spans="1:23" ht="13.9" collapsed="1" thickBot="1">
      <c r="A111" s="3276" t="s">
        <v>1215</v>
      </c>
      <c r="B111" s="3277"/>
      <c r="C111" s="2523"/>
      <c r="D111" s="2524"/>
      <c r="E111" s="2524"/>
      <c r="F111" s="2525"/>
      <c r="G111" s="2524"/>
      <c r="H111" s="2524">
        <v>0</v>
      </c>
      <c r="I111" s="2524">
        <v>0</v>
      </c>
      <c r="J111" s="2524">
        <v>0</v>
      </c>
      <c r="K111" s="2524">
        <v>0</v>
      </c>
      <c r="L111" s="2524">
        <v>0</v>
      </c>
      <c r="M111" s="3123">
        <v>0</v>
      </c>
      <c r="N111" s="2526">
        <v>0</v>
      </c>
      <c r="O111" s="2526">
        <f>SUM(O107:O110)</f>
        <v>0</v>
      </c>
      <c r="P111" s="2527">
        <f t="shared" si="4"/>
        <v>0</v>
      </c>
      <c r="Q111" s="2528"/>
      <c r="R111" s="2528">
        <f>SUM(R107:R110)</f>
        <v>0</v>
      </c>
      <c r="S111" s="2528"/>
      <c r="T111" s="2528"/>
      <c r="U111" s="2528"/>
      <c r="V111" s="2529">
        <f>'Výdaje kapitol celkem'!BA72</f>
        <v>0</v>
      </c>
      <c r="W111" s="2530">
        <f>+V111-O111</f>
        <v>0</v>
      </c>
    </row>
    <row r="112" spans="1:23" s="2571" customFormat="1" ht="12" hidden="1" customHeight="1" outlineLevel="1">
      <c r="A112" s="2596"/>
      <c r="B112" s="2515" t="s">
        <v>1677</v>
      </c>
      <c r="C112" s="2565" t="s">
        <v>1678</v>
      </c>
      <c r="D112" s="2566"/>
      <c r="E112" s="2566"/>
      <c r="F112" s="2567"/>
      <c r="G112" s="2567" t="s">
        <v>638</v>
      </c>
      <c r="H112" s="2567">
        <v>0</v>
      </c>
      <c r="I112" s="2567">
        <v>0</v>
      </c>
      <c r="J112" s="2567">
        <v>0</v>
      </c>
      <c r="K112" s="2567">
        <v>0</v>
      </c>
      <c r="L112" s="2567">
        <v>0</v>
      </c>
      <c r="M112" s="3132">
        <v>0</v>
      </c>
      <c r="N112" s="2570">
        <v>0</v>
      </c>
      <c r="O112" s="2570">
        <f>+'[3]Zdrav. středisko'!$B$19</f>
        <v>0</v>
      </c>
      <c r="P112" s="2569">
        <f t="shared" si="4"/>
        <v>0</v>
      </c>
      <c r="Q112" s="2570"/>
      <c r="R112" s="2570"/>
      <c r="S112" s="2570"/>
      <c r="T112" s="2570"/>
      <c r="U112" s="2570"/>
      <c r="V112" s="2487"/>
      <c r="W112" s="2530"/>
    </row>
    <row r="113" spans="1:23" s="2571" customFormat="1" ht="12" hidden="1" customHeight="1" outlineLevel="1">
      <c r="A113" s="2564"/>
      <c r="B113" s="2515" t="s">
        <v>1677</v>
      </c>
      <c r="C113" s="2565" t="s">
        <v>1679</v>
      </c>
      <c r="D113" s="2566"/>
      <c r="E113" s="2566"/>
      <c r="F113" s="2567"/>
      <c r="G113" s="2567" t="s">
        <v>638</v>
      </c>
      <c r="H113" s="2567">
        <v>0</v>
      </c>
      <c r="I113" s="2567">
        <v>0</v>
      </c>
      <c r="J113" s="2567">
        <v>0</v>
      </c>
      <c r="K113" s="2567">
        <v>0</v>
      </c>
      <c r="L113" s="2567">
        <v>0</v>
      </c>
      <c r="M113" s="3132">
        <v>0</v>
      </c>
      <c r="N113" s="2575">
        <v>0</v>
      </c>
      <c r="O113" s="2575">
        <f>+'[3]Zdrav. středisko'!$B$20</f>
        <v>0</v>
      </c>
      <c r="P113" s="2576">
        <f t="shared" si="4"/>
        <v>0</v>
      </c>
      <c r="Q113" s="2575"/>
      <c r="R113" s="2575"/>
      <c r="S113" s="2575"/>
      <c r="T113" s="2575"/>
      <c r="U113" s="2575"/>
      <c r="V113" s="2487"/>
      <c r="W113" s="2530"/>
    </row>
    <row r="114" spans="1:23" s="2571" customFormat="1" ht="12" hidden="1" customHeight="1" outlineLevel="1">
      <c r="A114" s="2564"/>
      <c r="B114" s="2515" t="s">
        <v>1677</v>
      </c>
      <c r="C114" s="2572"/>
      <c r="D114" s="2573"/>
      <c r="E114" s="2573"/>
      <c r="F114" s="2574"/>
      <c r="G114" s="2567" t="s">
        <v>638</v>
      </c>
      <c r="H114" s="2567"/>
      <c r="I114" s="2567"/>
      <c r="J114" s="2567"/>
      <c r="K114" s="2567"/>
      <c r="L114" s="2567"/>
      <c r="M114" s="3132"/>
      <c r="N114" s="2575"/>
      <c r="O114" s="2575"/>
      <c r="P114" s="2576">
        <f t="shared" si="4"/>
        <v>0</v>
      </c>
      <c r="Q114" s="2575"/>
      <c r="R114" s="2575"/>
      <c r="S114" s="2575"/>
      <c r="T114" s="2575"/>
      <c r="U114" s="2575"/>
      <c r="V114" s="2487"/>
      <c r="W114" s="2530"/>
    </row>
    <row r="115" spans="1:23" s="2571" customFormat="1" ht="12" hidden="1" customHeight="1" outlineLevel="1" thickBot="1">
      <c r="A115" s="2533">
        <v>3519</v>
      </c>
      <c r="B115" s="2553" t="s">
        <v>1677</v>
      </c>
      <c r="C115" s="2585"/>
      <c r="D115" s="2581"/>
      <c r="E115" s="2597"/>
      <c r="F115" s="2598"/>
      <c r="G115" s="2582" t="s">
        <v>638</v>
      </c>
      <c r="H115" s="2610"/>
      <c r="I115" s="2610"/>
      <c r="J115" s="2610"/>
      <c r="K115" s="2610"/>
      <c r="L115" s="2610"/>
      <c r="M115" s="3133"/>
      <c r="N115" s="2599"/>
      <c r="O115" s="2599"/>
      <c r="P115" s="2600">
        <f t="shared" si="4"/>
        <v>0</v>
      </c>
      <c r="Q115" s="2599"/>
      <c r="R115" s="2599"/>
      <c r="S115" s="2599"/>
      <c r="T115" s="2599"/>
      <c r="U115" s="2599"/>
      <c r="V115" s="2487"/>
      <c r="W115" s="2530"/>
    </row>
    <row r="116" spans="1:23" ht="13.9" collapsed="1" thickBot="1">
      <c r="A116" s="3276" t="s">
        <v>1676</v>
      </c>
      <c r="B116" s="3277"/>
      <c r="C116" s="2523"/>
      <c r="D116" s="2524"/>
      <c r="E116" s="2524"/>
      <c r="F116" s="2525"/>
      <c r="G116" s="2524"/>
      <c r="H116" s="2524">
        <v>0</v>
      </c>
      <c r="I116" s="2524">
        <v>0</v>
      </c>
      <c r="J116" s="2524">
        <v>0</v>
      </c>
      <c r="K116" s="2524">
        <v>0</v>
      </c>
      <c r="L116" s="2524">
        <v>0</v>
      </c>
      <c r="M116" s="3123">
        <v>0</v>
      </c>
      <c r="N116" s="2601">
        <v>0</v>
      </c>
      <c r="O116" s="2601">
        <f>SUM(O112:O115)</f>
        <v>0</v>
      </c>
      <c r="P116" s="2602">
        <f t="shared" si="4"/>
        <v>0</v>
      </c>
      <c r="Q116" s="2603"/>
      <c r="R116" s="2603">
        <f>SUM(R112:R115)</f>
        <v>0</v>
      </c>
      <c r="S116" s="2603"/>
      <c r="T116" s="2603"/>
      <c r="U116" s="2603"/>
      <c r="V116" s="2529">
        <f>'Výdaje kapitol celkem'!AS60+'Výdaje kapitol celkem'!AS61+'Výdaje kapitol celkem'!AS62+'Výdaje kapitol celkem'!AS63+'Výdaje kapitol celkem'!AS64+'Výdaje kapitol celkem'!AS65+'Výdaje kapitol celkem'!AS66+'Výdaje kapitol celkem'!AS67</f>
        <v>0</v>
      </c>
      <c r="W116" s="2530">
        <f>+V116-O116</f>
        <v>0</v>
      </c>
    </row>
    <row r="117" spans="1:23" s="2571" customFormat="1" ht="12" hidden="1" customHeight="1" outlineLevel="1">
      <c r="A117" s="2596"/>
      <c r="B117" s="2515" t="s">
        <v>145</v>
      </c>
      <c r="C117" s="2604" t="s">
        <v>1634</v>
      </c>
      <c r="D117" s="2605"/>
      <c r="E117" s="2566"/>
      <c r="F117" s="2567"/>
      <c r="G117" s="2567" t="s">
        <v>638</v>
      </c>
      <c r="H117" s="2567">
        <v>0</v>
      </c>
      <c r="I117" s="2567">
        <v>0</v>
      </c>
      <c r="J117" s="2567">
        <v>0</v>
      </c>
      <c r="K117" s="2567">
        <v>0</v>
      </c>
      <c r="L117" s="2567">
        <v>0</v>
      </c>
      <c r="M117" s="3132">
        <v>0</v>
      </c>
      <c r="N117" s="2570">
        <v>0</v>
      </c>
      <c r="O117" s="2570">
        <f>+[4]ZŠ!$B$8</f>
        <v>0</v>
      </c>
      <c r="P117" s="2569">
        <f t="shared" si="4"/>
        <v>0</v>
      </c>
      <c r="Q117" s="2570"/>
      <c r="R117" s="2570"/>
      <c r="S117" s="2570"/>
      <c r="T117" s="2570"/>
      <c r="U117" s="2570"/>
      <c r="V117" s="2487"/>
      <c r="W117" s="2530"/>
    </row>
    <row r="118" spans="1:23" s="2571" customFormat="1" ht="12" hidden="1" customHeight="1" outlineLevel="1">
      <c r="A118" s="2564"/>
      <c r="B118" s="2559" t="s">
        <v>145</v>
      </c>
      <c r="C118" s="2604" t="s">
        <v>1635</v>
      </c>
      <c r="D118" s="2566"/>
      <c r="E118" s="2566"/>
      <c r="F118" s="2567"/>
      <c r="G118" s="2567" t="s">
        <v>638</v>
      </c>
      <c r="H118" s="2567">
        <v>0</v>
      </c>
      <c r="I118" s="2567">
        <v>0</v>
      </c>
      <c r="J118" s="2567">
        <v>0</v>
      </c>
      <c r="K118" s="2567">
        <v>0</v>
      </c>
      <c r="L118" s="2567">
        <v>0</v>
      </c>
      <c r="M118" s="3132">
        <v>0</v>
      </c>
      <c r="N118" s="2575">
        <v>0</v>
      </c>
      <c r="O118" s="2575">
        <f>+[4]ZŠ!$B$9</f>
        <v>0</v>
      </c>
      <c r="P118" s="2576">
        <f t="shared" si="4"/>
        <v>0</v>
      </c>
      <c r="Q118" s="2575"/>
      <c r="R118" s="2575"/>
      <c r="S118" s="2575"/>
      <c r="T118" s="2575"/>
      <c r="U118" s="2575"/>
      <c r="V118" s="2487"/>
      <c r="W118" s="2530"/>
    </row>
    <row r="119" spans="1:23" s="2571" customFormat="1" ht="12" hidden="1" customHeight="1" outlineLevel="1">
      <c r="A119" s="2532"/>
      <c r="B119" s="2606" t="s">
        <v>145</v>
      </c>
      <c r="C119" s="3012" t="s">
        <v>1636</v>
      </c>
      <c r="D119" s="2607"/>
      <c r="E119" s="2608"/>
      <c r="F119" s="2609"/>
      <c r="G119" s="2610" t="s">
        <v>638</v>
      </c>
      <c r="H119" s="2610">
        <v>0</v>
      </c>
      <c r="I119" s="2610">
        <v>0</v>
      </c>
      <c r="J119" s="2610">
        <v>0</v>
      </c>
      <c r="K119" s="2610">
        <v>0</v>
      </c>
      <c r="L119" s="2610">
        <v>0</v>
      </c>
      <c r="M119" s="3133">
        <v>0</v>
      </c>
      <c r="N119" s="2575">
        <v>0</v>
      </c>
      <c r="O119" s="2575">
        <f>+[4]ZŠ!$B$22</f>
        <v>0</v>
      </c>
      <c r="P119" s="2576">
        <f t="shared" si="4"/>
        <v>0</v>
      </c>
      <c r="Q119" s="2575"/>
      <c r="R119" s="2575"/>
      <c r="S119" s="2575"/>
      <c r="T119" s="2575"/>
      <c r="U119" s="2575"/>
      <c r="V119" s="2487"/>
      <c r="W119" s="2530"/>
    </row>
    <row r="120" spans="1:23" s="2571" customFormat="1" ht="12" hidden="1" customHeight="1" outlineLevel="1">
      <c r="A120" s="2532"/>
      <c r="B120" s="2559" t="s">
        <v>145</v>
      </c>
      <c r="C120" s="2611" t="s">
        <v>1637</v>
      </c>
      <c r="D120" s="2573"/>
      <c r="E120" s="2612"/>
      <c r="F120" s="2613"/>
      <c r="G120" s="2574" t="s">
        <v>638</v>
      </c>
      <c r="H120" s="2574">
        <v>0</v>
      </c>
      <c r="I120" s="2574">
        <v>0</v>
      </c>
      <c r="J120" s="2574">
        <v>0</v>
      </c>
      <c r="K120" s="2574">
        <v>0</v>
      </c>
      <c r="L120" s="2574">
        <v>0</v>
      </c>
      <c r="M120" s="3134">
        <v>0</v>
      </c>
      <c r="N120" s="2575">
        <v>0</v>
      </c>
      <c r="O120" s="2575">
        <f>+[4]ZŠ!$B$23</f>
        <v>0</v>
      </c>
      <c r="P120" s="2576">
        <f t="shared" si="4"/>
        <v>0</v>
      </c>
      <c r="Q120" s="2575"/>
      <c r="R120" s="2575"/>
      <c r="S120" s="2575"/>
      <c r="T120" s="2575"/>
      <c r="U120" s="2575"/>
      <c r="V120" s="2487"/>
      <c r="W120" s="2530"/>
    </row>
    <row r="121" spans="1:23" s="2571" customFormat="1" ht="12" hidden="1" customHeight="1" outlineLevel="1">
      <c r="A121" s="2532"/>
      <c r="B121" s="2559" t="s">
        <v>145</v>
      </c>
      <c r="C121" s="2611" t="s">
        <v>2171</v>
      </c>
      <c r="D121" s="2573"/>
      <c r="E121" s="2612"/>
      <c r="F121" s="2613"/>
      <c r="G121" s="2574" t="s">
        <v>638</v>
      </c>
      <c r="H121" s="2574">
        <v>0</v>
      </c>
      <c r="I121" s="2574">
        <v>0</v>
      </c>
      <c r="J121" s="2574">
        <v>0</v>
      </c>
      <c r="K121" s="2574">
        <v>0</v>
      </c>
      <c r="L121" s="2574">
        <v>0</v>
      </c>
      <c r="M121" s="3134">
        <v>0</v>
      </c>
      <c r="N121" s="2575">
        <v>0</v>
      </c>
      <c r="O121" s="2575">
        <f>+[4]ZŠ!$B$36</f>
        <v>0</v>
      </c>
      <c r="P121" s="2576">
        <f t="shared" si="4"/>
        <v>0</v>
      </c>
      <c r="Q121" s="2575"/>
      <c r="R121" s="2575"/>
      <c r="S121" s="2575"/>
      <c r="T121" s="2575"/>
      <c r="U121" s="2575"/>
      <c r="V121" s="2487"/>
      <c r="W121" s="2530"/>
    </row>
    <row r="122" spans="1:23" s="2571" customFormat="1" ht="12" hidden="1" customHeight="1" outlineLevel="1">
      <c r="A122" s="2532"/>
      <c r="B122" s="2559" t="s">
        <v>145</v>
      </c>
      <c r="C122" s="2611" t="s">
        <v>2172</v>
      </c>
      <c r="D122" s="2573"/>
      <c r="E122" s="2612"/>
      <c r="F122" s="2613"/>
      <c r="G122" s="2574" t="s">
        <v>638</v>
      </c>
      <c r="H122" s="2574">
        <v>0</v>
      </c>
      <c r="I122" s="2574">
        <v>0</v>
      </c>
      <c r="J122" s="2574">
        <v>0</v>
      </c>
      <c r="K122" s="2574">
        <v>0</v>
      </c>
      <c r="L122" s="2574">
        <v>0</v>
      </c>
      <c r="M122" s="3134">
        <v>0</v>
      </c>
      <c r="N122" s="2575">
        <v>0</v>
      </c>
      <c r="O122" s="2575">
        <f>+[4]ZŠ!$B$37</f>
        <v>0</v>
      </c>
      <c r="P122" s="2576">
        <f t="shared" si="4"/>
        <v>0</v>
      </c>
      <c r="Q122" s="2575"/>
      <c r="R122" s="2575"/>
      <c r="S122" s="2575"/>
      <c r="T122" s="2575"/>
      <c r="U122" s="2575"/>
      <c r="V122" s="2487"/>
      <c r="W122" s="2530"/>
    </row>
    <row r="123" spans="1:23" s="2571" customFormat="1" ht="12" hidden="1" customHeight="1" outlineLevel="1">
      <c r="A123" s="2532"/>
      <c r="B123" s="2559" t="s">
        <v>145</v>
      </c>
      <c r="C123" s="2611" t="s">
        <v>1643</v>
      </c>
      <c r="D123" s="2573"/>
      <c r="E123" s="2612"/>
      <c r="F123" s="2613"/>
      <c r="G123" s="2574" t="s">
        <v>638</v>
      </c>
      <c r="H123" s="2574">
        <v>0</v>
      </c>
      <c r="I123" s="2574">
        <v>0</v>
      </c>
      <c r="J123" s="2574">
        <v>0</v>
      </c>
      <c r="K123" s="2574">
        <v>0</v>
      </c>
      <c r="L123" s="2574">
        <v>0</v>
      </c>
      <c r="M123" s="3134">
        <v>0</v>
      </c>
      <c r="N123" s="2575">
        <v>0</v>
      </c>
      <c r="O123" s="2575">
        <f>+[4]ZŠ!$B$76</f>
        <v>0</v>
      </c>
      <c r="P123" s="2576">
        <f t="shared" si="4"/>
        <v>0</v>
      </c>
      <c r="Q123" s="2575"/>
      <c r="R123" s="2575"/>
      <c r="S123" s="2575"/>
      <c r="T123" s="2575"/>
      <c r="U123" s="2575"/>
      <c r="V123" s="2487"/>
      <c r="W123" s="2530"/>
    </row>
    <row r="124" spans="1:23" s="2571" customFormat="1" ht="12" hidden="1" customHeight="1" outlineLevel="1">
      <c r="A124" s="2532"/>
      <c r="B124" s="2559" t="s">
        <v>145</v>
      </c>
      <c r="C124" s="2611" t="s">
        <v>1644</v>
      </c>
      <c r="D124" s="2573"/>
      <c r="E124" s="2612"/>
      <c r="F124" s="2613"/>
      <c r="G124" s="2574" t="s">
        <v>638</v>
      </c>
      <c r="H124" s="2574">
        <v>0</v>
      </c>
      <c r="I124" s="2574">
        <v>0</v>
      </c>
      <c r="J124" s="2574">
        <v>0</v>
      </c>
      <c r="K124" s="2574">
        <v>0</v>
      </c>
      <c r="L124" s="2574">
        <v>0</v>
      </c>
      <c r="M124" s="3134">
        <v>0</v>
      </c>
      <c r="N124" s="2575">
        <v>0</v>
      </c>
      <c r="O124" s="2575">
        <f>+[4]ZŠ!$B$77</f>
        <v>0</v>
      </c>
      <c r="P124" s="2576">
        <f t="shared" si="4"/>
        <v>0</v>
      </c>
      <c r="Q124" s="2575"/>
      <c r="R124" s="2575"/>
      <c r="S124" s="2575"/>
      <c r="T124" s="2575"/>
      <c r="U124" s="2575"/>
      <c r="V124" s="2487"/>
      <c r="W124" s="2530"/>
    </row>
    <row r="125" spans="1:23" s="2571" customFormat="1" ht="12" hidden="1" customHeight="1" outlineLevel="1">
      <c r="A125" s="2532"/>
      <c r="B125" s="2559" t="s">
        <v>145</v>
      </c>
      <c r="C125" s="2611" t="s">
        <v>1638</v>
      </c>
      <c r="D125" s="2573"/>
      <c r="E125" s="2612"/>
      <c r="F125" s="2613"/>
      <c r="G125" s="2574" t="s">
        <v>638</v>
      </c>
      <c r="H125" s="2574"/>
      <c r="I125" s="2574"/>
      <c r="J125" s="2574"/>
      <c r="K125" s="2574"/>
      <c r="L125" s="2574"/>
      <c r="M125" s="3134"/>
      <c r="N125" s="2575"/>
      <c r="O125" s="2575"/>
      <c r="P125" s="2576">
        <f t="shared" si="4"/>
        <v>0</v>
      </c>
      <c r="Q125" s="2575"/>
      <c r="R125" s="2575"/>
      <c r="S125" s="2575"/>
      <c r="T125" s="2575"/>
      <c r="U125" s="2575"/>
      <c r="V125" s="2487"/>
      <c r="W125" s="2530"/>
    </row>
    <row r="126" spans="1:23" s="2571" customFormat="1" ht="12" hidden="1" customHeight="1" outlineLevel="1">
      <c r="A126" s="2532"/>
      <c r="B126" s="2559" t="s">
        <v>145</v>
      </c>
      <c r="C126" s="2611" t="s">
        <v>1933</v>
      </c>
      <c r="D126" s="2573"/>
      <c r="E126" s="2612"/>
      <c r="F126" s="2613"/>
      <c r="G126" s="2574" t="s">
        <v>638</v>
      </c>
      <c r="H126" s="2574"/>
      <c r="I126" s="2574"/>
      <c r="J126" s="2574"/>
      <c r="K126" s="2574"/>
      <c r="L126" s="2574"/>
      <c r="M126" s="3134"/>
      <c r="N126" s="2575"/>
      <c r="O126" s="2575"/>
      <c r="P126" s="2576">
        <f t="shared" si="4"/>
        <v>0</v>
      </c>
      <c r="Q126" s="2575"/>
      <c r="R126" s="2575"/>
      <c r="S126" s="2575"/>
      <c r="T126" s="2575"/>
      <c r="U126" s="2575"/>
      <c r="V126" s="2487"/>
      <c r="W126" s="2530"/>
    </row>
    <row r="127" spans="1:23" s="2571" customFormat="1" ht="12" hidden="1" customHeight="1" outlineLevel="1">
      <c r="A127" s="2614"/>
      <c r="B127" s="2559" t="s">
        <v>145</v>
      </c>
      <c r="C127" s="2611" t="s">
        <v>1639</v>
      </c>
      <c r="D127" s="2573"/>
      <c r="E127" s="2612"/>
      <c r="F127" s="2613"/>
      <c r="G127" s="2574" t="s">
        <v>638</v>
      </c>
      <c r="H127" s="2574">
        <v>0</v>
      </c>
      <c r="I127" s="2574">
        <v>0</v>
      </c>
      <c r="J127" s="2574">
        <v>0</v>
      </c>
      <c r="K127" s="2574">
        <v>0</v>
      </c>
      <c r="L127" s="2574">
        <v>0</v>
      </c>
      <c r="M127" s="3134">
        <v>0</v>
      </c>
      <c r="N127" s="2575">
        <v>0</v>
      </c>
      <c r="O127" s="2575">
        <f>+[4]ZŠ!$B$49</f>
        <v>0</v>
      </c>
      <c r="P127" s="2576">
        <f t="shared" si="4"/>
        <v>0</v>
      </c>
      <c r="Q127" s="2575"/>
      <c r="R127" s="2575"/>
      <c r="S127" s="2575"/>
      <c r="T127" s="2575"/>
      <c r="U127" s="2575"/>
      <c r="V127" s="2487"/>
      <c r="W127" s="2530"/>
    </row>
    <row r="128" spans="1:23" s="2571" customFormat="1" ht="12" hidden="1" customHeight="1" outlineLevel="1">
      <c r="A128" s="2532"/>
      <c r="B128" s="2559" t="s">
        <v>145</v>
      </c>
      <c r="C128" s="2611" t="s">
        <v>1640</v>
      </c>
      <c r="D128" s="2573"/>
      <c r="E128" s="2612"/>
      <c r="F128" s="2613"/>
      <c r="G128" s="2574" t="s">
        <v>638</v>
      </c>
      <c r="H128" s="2574">
        <v>0</v>
      </c>
      <c r="I128" s="2574">
        <v>0</v>
      </c>
      <c r="J128" s="2574">
        <v>0</v>
      </c>
      <c r="K128" s="2574">
        <v>0</v>
      </c>
      <c r="L128" s="2574">
        <v>0</v>
      </c>
      <c r="M128" s="3134">
        <v>0</v>
      </c>
      <c r="N128" s="2575">
        <v>0</v>
      </c>
      <c r="O128" s="2575">
        <f>+[4]ZŠ!$B$50</f>
        <v>0</v>
      </c>
      <c r="P128" s="2576">
        <f t="shared" si="4"/>
        <v>0</v>
      </c>
      <c r="Q128" s="2575"/>
      <c r="R128" s="2575"/>
      <c r="S128" s="2575"/>
      <c r="T128" s="2575"/>
      <c r="U128" s="2575"/>
      <c r="V128" s="2487"/>
      <c r="W128" s="2530"/>
    </row>
    <row r="129" spans="1:23" s="2571" customFormat="1" ht="12" customHeight="1" outlineLevel="1">
      <c r="A129" s="2532"/>
      <c r="B129" s="2559" t="s">
        <v>145</v>
      </c>
      <c r="C129" s="2615" t="s">
        <v>1642</v>
      </c>
      <c r="D129" s="2573"/>
      <c r="E129" s="2612"/>
      <c r="F129" s="2613"/>
      <c r="G129" s="2574" t="s">
        <v>638</v>
      </c>
      <c r="H129" s="2574">
        <v>30000</v>
      </c>
      <c r="I129" s="2574">
        <v>30000</v>
      </c>
      <c r="J129" s="2574">
        <v>30000</v>
      </c>
      <c r="K129" s="2574">
        <v>30000</v>
      </c>
      <c r="L129" s="2574">
        <v>30000</v>
      </c>
      <c r="M129" s="3134">
        <v>30000</v>
      </c>
      <c r="N129" s="2575">
        <v>30000</v>
      </c>
      <c r="O129" s="2575">
        <f>+[4]ZŠ!$B$62</f>
        <v>0</v>
      </c>
      <c r="P129" s="2576">
        <f t="shared" si="4"/>
        <v>-30000</v>
      </c>
      <c r="Q129" s="2575"/>
      <c r="R129" s="2575"/>
      <c r="S129" s="2575"/>
      <c r="T129" s="2575"/>
      <c r="U129" s="2575"/>
      <c r="V129" s="2487"/>
      <c r="W129" s="2530"/>
    </row>
    <row r="130" spans="1:23" s="2571" customFormat="1" ht="12" hidden="1" customHeight="1" outlineLevel="1">
      <c r="A130" s="2532"/>
      <c r="B130" s="2559" t="s">
        <v>145</v>
      </c>
      <c r="C130" s="2604" t="s">
        <v>1641</v>
      </c>
      <c r="D130" s="2566"/>
      <c r="E130" s="2616"/>
      <c r="F130" s="2617"/>
      <c r="G130" s="2574" t="s">
        <v>638</v>
      </c>
      <c r="H130" s="2574">
        <v>0</v>
      </c>
      <c r="I130" s="2574">
        <v>0</v>
      </c>
      <c r="J130" s="2574">
        <v>0</v>
      </c>
      <c r="K130" s="2574">
        <v>0</v>
      </c>
      <c r="L130" s="2574">
        <v>0</v>
      </c>
      <c r="M130" s="3134">
        <v>0</v>
      </c>
      <c r="N130" s="2575">
        <v>0</v>
      </c>
      <c r="O130" s="2575">
        <f>+[4]ZŠ!$B$63</f>
        <v>0</v>
      </c>
      <c r="P130" s="2576">
        <f t="shared" si="4"/>
        <v>0</v>
      </c>
      <c r="Q130" s="2575"/>
      <c r="R130" s="2575"/>
      <c r="S130" s="2575"/>
      <c r="T130" s="2575"/>
      <c r="U130" s="2575"/>
      <c r="V130" s="2487"/>
      <c r="W130" s="2530"/>
    </row>
    <row r="131" spans="1:23" s="2571" customFormat="1" ht="12" hidden="1" customHeight="1" outlineLevel="1">
      <c r="A131" s="2532"/>
      <c r="B131" s="2618" t="s">
        <v>145</v>
      </c>
      <c r="C131" s="2619" t="s">
        <v>1643</v>
      </c>
      <c r="D131" s="2620"/>
      <c r="E131" s="2621"/>
      <c r="F131" s="2622"/>
      <c r="G131" s="2591" t="s">
        <v>1910</v>
      </c>
      <c r="H131" s="2591"/>
      <c r="I131" s="2591"/>
      <c r="J131" s="2591"/>
      <c r="K131" s="2591"/>
      <c r="L131" s="2591"/>
      <c r="M131" s="3135"/>
      <c r="N131" s="2592"/>
      <c r="O131" s="2592"/>
      <c r="P131" s="2593">
        <f t="shared" si="4"/>
        <v>0</v>
      </c>
      <c r="Q131" s="2592"/>
      <c r="R131" s="2592"/>
      <c r="S131" s="2592"/>
      <c r="T131" s="2592"/>
      <c r="U131" s="2592"/>
      <c r="V131" s="2487"/>
      <c r="W131" s="2530"/>
    </row>
    <row r="132" spans="1:23" s="2571" customFormat="1" ht="12" hidden="1" customHeight="1" outlineLevel="1">
      <c r="A132" s="2532"/>
      <c r="B132" s="2559" t="s">
        <v>145</v>
      </c>
      <c r="C132" s="2604" t="s">
        <v>1644</v>
      </c>
      <c r="D132" s="2566"/>
      <c r="E132" s="2616"/>
      <c r="F132" s="2617"/>
      <c r="G132" s="2574" t="s">
        <v>638</v>
      </c>
      <c r="H132" s="2574"/>
      <c r="I132" s="2574"/>
      <c r="J132" s="2574"/>
      <c r="K132" s="2574"/>
      <c r="L132" s="2574"/>
      <c r="M132" s="3134"/>
      <c r="N132" s="2575"/>
      <c r="O132" s="2575"/>
      <c r="P132" s="2576">
        <f t="shared" si="4"/>
        <v>0</v>
      </c>
      <c r="Q132" s="2575"/>
      <c r="R132" s="2575"/>
      <c r="S132" s="2575"/>
      <c r="T132" s="2575"/>
      <c r="U132" s="2575"/>
      <c r="V132" s="2487"/>
      <c r="W132" s="2530"/>
    </row>
    <row r="133" spans="1:23" s="2571" customFormat="1" ht="12" hidden="1" customHeight="1" outlineLevel="1">
      <c r="A133" s="2532"/>
      <c r="B133" s="2559" t="s">
        <v>145</v>
      </c>
      <c r="C133" s="2604" t="s">
        <v>2301</v>
      </c>
      <c r="D133" s="2566"/>
      <c r="E133" s="2616"/>
      <c r="F133" s="2617"/>
      <c r="G133" s="2574" t="s">
        <v>638</v>
      </c>
      <c r="H133" s="2574"/>
      <c r="I133" s="2574"/>
      <c r="J133" s="2574"/>
      <c r="K133" s="2574"/>
      <c r="L133" s="2574"/>
      <c r="M133" s="3134"/>
      <c r="N133" s="2575"/>
      <c r="O133" s="2575"/>
      <c r="P133" s="2576">
        <f t="shared" si="4"/>
        <v>0</v>
      </c>
      <c r="Q133" s="2575"/>
      <c r="R133" s="2575"/>
      <c r="S133" s="2575"/>
      <c r="T133" s="2575"/>
      <c r="U133" s="2575"/>
      <c r="V133" s="2487"/>
      <c r="W133" s="2530"/>
    </row>
    <row r="134" spans="1:23" s="2571" customFormat="1" ht="19.5" customHeight="1" outlineLevel="1" thickBot="1">
      <c r="A134" s="2547"/>
      <c r="B134" s="2553" t="s">
        <v>145</v>
      </c>
      <c r="C134" s="2623" t="s">
        <v>3023</v>
      </c>
      <c r="D134" s="2581"/>
      <c r="E134" s="2597"/>
      <c r="F134" s="2598"/>
      <c r="G134" s="2582" t="s">
        <v>638</v>
      </c>
      <c r="H134" s="2610"/>
      <c r="I134" s="2586"/>
      <c r="J134" s="2682"/>
      <c r="K134" s="2682"/>
      <c r="L134" s="2682"/>
      <c r="M134" s="3129"/>
      <c r="N134" s="2599"/>
      <c r="O134" s="2599">
        <f>+[7]ZŠ!$B$40</f>
        <v>5761000</v>
      </c>
      <c r="P134" s="2600">
        <f t="shared" si="4"/>
        <v>5761000</v>
      </c>
      <c r="Q134" s="2599"/>
      <c r="R134" s="2599"/>
      <c r="S134" s="2599"/>
      <c r="T134" s="2599"/>
      <c r="U134" s="2599"/>
      <c r="V134" s="2487"/>
      <c r="W134" s="2530"/>
    </row>
    <row r="135" spans="1:23" ht="13.9" thickBot="1">
      <c r="A135" s="3276" t="s">
        <v>205</v>
      </c>
      <c r="B135" s="3277"/>
      <c r="C135" s="2523"/>
      <c r="D135" s="2524"/>
      <c r="E135" s="2524"/>
      <c r="F135" s="2525"/>
      <c r="G135" s="2524"/>
      <c r="H135" s="2524">
        <v>30000</v>
      </c>
      <c r="I135" s="2524">
        <v>30000</v>
      </c>
      <c r="J135" s="2524">
        <v>30000</v>
      </c>
      <c r="K135" s="2524">
        <v>30000</v>
      </c>
      <c r="L135" s="2524">
        <v>30000</v>
      </c>
      <c r="M135" s="3123">
        <v>30000</v>
      </c>
      <c r="N135" s="2601">
        <v>30000</v>
      </c>
      <c r="O135" s="2601">
        <f>SUM(O117:O134)</f>
        <v>5761000</v>
      </c>
      <c r="P135" s="2602">
        <f t="shared" si="4"/>
        <v>5731000</v>
      </c>
      <c r="Q135" s="2603"/>
      <c r="R135" s="2603">
        <f>SUM(R117:R119)</f>
        <v>0</v>
      </c>
      <c r="S135" s="2603"/>
      <c r="T135" s="2603"/>
      <c r="U135" s="2603"/>
      <c r="V135" s="2529">
        <f>'Výdaje kapitol celkem'!BG72</f>
        <v>5761000</v>
      </c>
      <c r="W135" s="2530">
        <f>+V135-O135</f>
        <v>0</v>
      </c>
    </row>
    <row r="136" spans="1:23" s="2571" customFormat="1" ht="12" hidden="1" customHeight="1" outlineLevel="1">
      <c r="A136" s="2596"/>
      <c r="B136" s="2515" t="s">
        <v>1528</v>
      </c>
      <c r="C136" s="2611" t="s">
        <v>2285</v>
      </c>
      <c r="D136" s="2566"/>
      <c r="E136" s="2566"/>
      <c r="F136" s="2567"/>
      <c r="G136" s="2566" t="s">
        <v>638</v>
      </c>
      <c r="H136" s="2566">
        <v>0</v>
      </c>
      <c r="I136" s="2566">
        <v>0</v>
      </c>
      <c r="J136" s="2566">
        <v>0</v>
      </c>
      <c r="K136" s="2566">
        <v>0</v>
      </c>
      <c r="L136" s="2566">
        <v>0</v>
      </c>
      <c r="M136" s="3126">
        <v>0</v>
      </c>
      <c r="N136" s="2570">
        <v>0</v>
      </c>
      <c r="O136" s="2570">
        <f>+[3]Sv.Š!$B$47</f>
        <v>0</v>
      </c>
      <c r="P136" s="2569">
        <f t="shared" ref="P136:P199" si="7">+O136-N136</f>
        <v>0</v>
      </c>
      <c r="Q136" s="2570"/>
      <c r="R136" s="2570"/>
      <c r="S136" s="2570"/>
      <c r="T136" s="2570"/>
      <c r="U136" s="2570"/>
      <c r="V136" s="2487"/>
      <c r="W136" s="2530"/>
    </row>
    <row r="137" spans="1:23" s="2571" customFormat="1" ht="12" hidden="1" customHeight="1" outlineLevel="1">
      <c r="A137" s="2564"/>
      <c r="B137" s="2515" t="s">
        <v>1528</v>
      </c>
      <c r="C137" s="2611" t="s">
        <v>2286</v>
      </c>
      <c r="D137" s="2566"/>
      <c r="E137" s="2566"/>
      <c r="F137" s="2567"/>
      <c r="G137" s="2566" t="s">
        <v>638</v>
      </c>
      <c r="H137" s="2566">
        <v>0</v>
      </c>
      <c r="I137" s="2566">
        <v>0</v>
      </c>
      <c r="J137" s="2566">
        <v>0</v>
      </c>
      <c r="K137" s="2566">
        <v>0</v>
      </c>
      <c r="L137" s="2566">
        <v>0</v>
      </c>
      <c r="M137" s="3126">
        <v>0</v>
      </c>
      <c r="N137" s="2570">
        <v>0</v>
      </c>
      <c r="O137" s="2570">
        <f>+[3]Sv.Š!$B$48</f>
        <v>0</v>
      </c>
      <c r="P137" s="2569">
        <f t="shared" si="7"/>
        <v>0</v>
      </c>
      <c r="Q137" s="2570"/>
      <c r="R137" s="2570"/>
      <c r="S137" s="2570"/>
      <c r="T137" s="2570"/>
      <c r="U137" s="2570"/>
      <c r="V137" s="2487"/>
      <c r="W137" s="2530"/>
    </row>
    <row r="138" spans="1:23" s="2571" customFormat="1" ht="12" hidden="1" customHeight="1" outlineLevel="1">
      <c r="A138" s="2564"/>
      <c r="B138" s="2515" t="s">
        <v>1528</v>
      </c>
      <c r="C138" s="2611" t="s">
        <v>2170</v>
      </c>
      <c r="D138" s="2566"/>
      <c r="E138" s="2566"/>
      <c r="F138" s="2567"/>
      <c r="G138" s="2566" t="s">
        <v>638</v>
      </c>
      <c r="H138" s="2566">
        <v>0</v>
      </c>
      <c r="I138" s="2566">
        <v>0</v>
      </c>
      <c r="J138" s="2566">
        <v>0</v>
      </c>
      <c r="K138" s="2566">
        <v>0</v>
      </c>
      <c r="L138" s="2566">
        <v>0</v>
      </c>
      <c r="M138" s="3126">
        <v>0</v>
      </c>
      <c r="N138" s="2570">
        <v>0</v>
      </c>
      <c r="O138" s="2570">
        <f>+[4]Sv.Š!$B$19</f>
        <v>0</v>
      </c>
      <c r="P138" s="2569">
        <f t="shared" si="7"/>
        <v>0</v>
      </c>
      <c r="Q138" s="2570"/>
      <c r="R138" s="2570"/>
      <c r="S138" s="2570"/>
      <c r="T138" s="2570"/>
      <c r="U138" s="2570"/>
      <c r="V138" s="2487"/>
      <c r="W138" s="2530"/>
    </row>
    <row r="139" spans="1:23" s="2571" customFormat="1" ht="12" hidden="1" customHeight="1" outlineLevel="1" thickBot="1">
      <c r="A139" s="2533" t="s">
        <v>1529</v>
      </c>
      <c r="B139" s="2553" t="s">
        <v>1528</v>
      </c>
      <c r="C139" s="2585" t="s">
        <v>2549</v>
      </c>
      <c r="D139" s="2581"/>
      <c r="E139" s="2597"/>
      <c r="F139" s="2598"/>
      <c r="G139" s="2581" t="s">
        <v>638</v>
      </c>
      <c r="H139" s="2581">
        <v>0</v>
      </c>
      <c r="I139" s="2581">
        <v>0</v>
      </c>
      <c r="J139" s="2581">
        <v>0</v>
      </c>
      <c r="K139" s="2581">
        <v>0</v>
      </c>
      <c r="L139" s="2581">
        <v>0</v>
      </c>
      <c r="M139" s="3128">
        <v>0</v>
      </c>
      <c r="N139" s="2583">
        <v>0</v>
      </c>
      <c r="O139" s="2583">
        <f>+[4]Sv.Š!$B$12</f>
        <v>0</v>
      </c>
      <c r="P139" s="2569">
        <f t="shared" si="7"/>
        <v>0</v>
      </c>
      <c r="Q139" s="2583"/>
      <c r="R139" s="2583"/>
      <c r="S139" s="2583"/>
      <c r="T139" s="2583"/>
      <c r="U139" s="2583"/>
      <c r="V139" s="2487"/>
      <c r="W139" s="2530"/>
    </row>
    <row r="140" spans="1:23" ht="13.9" collapsed="1" thickBot="1">
      <c r="A140" s="3276" t="s">
        <v>2618</v>
      </c>
      <c r="B140" s="3277"/>
      <c r="C140" s="2523"/>
      <c r="D140" s="2524"/>
      <c r="E140" s="2524"/>
      <c r="F140" s="2525"/>
      <c r="G140" s="2524"/>
      <c r="H140" s="2524">
        <v>0</v>
      </c>
      <c r="I140" s="2524">
        <v>0</v>
      </c>
      <c r="J140" s="2524">
        <v>0</v>
      </c>
      <c r="K140" s="2524">
        <v>0</v>
      </c>
      <c r="L140" s="2524">
        <v>0</v>
      </c>
      <c r="M140" s="3123">
        <v>0</v>
      </c>
      <c r="N140" s="2526">
        <v>0</v>
      </c>
      <c r="O140" s="2526">
        <f>SUM(O136:O139)</f>
        <v>0</v>
      </c>
      <c r="P140" s="2527">
        <f t="shared" si="7"/>
        <v>0</v>
      </c>
      <c r="Q140" s="2528"/>
      <c r="R140" s="2528">
        <f>SUM(R136:R139)</f>
        <v>0</v>
      </c>
      <c r="S140" s="2528"/>
      <c r="T140" s="2528"/>
      <c r="U140" s="2528"/>
      <c r="V140" s="2529">
        <f>+'Výdaje kapitol celkem'!BJ72</f>
        <v>0</v>
      </c>
      <c r="W140" s="2530">
        <f>+V140-O140</f>
        <v>0</v>
      </c>
    </row>
    <row r="141" spans="1:23" s="2571" customFormat="1" ht="12" hidden="1" customHeight="1" outlineLevel="1">
      <c r="A141" s="2564"/>
      <c r="B141" s="2578" t="s">
        <v>490</v>
      </c>
      <c r="C141" s="2565"/>
      <c r="D141" s="2566"/>
      <c r="E141" s="2566"/>
      <c r="F141" s="2567"/>
      <c r="G141" s="2566" t="s">
        <v>638</v>
      </c>
      <c r="H141" s="2566">
        <v>0</v>
      </c>
      <c r="I141" s="2566">
        <v>0</v>
      </c>
      <c r="J141" s="2566">
        <v>0</v>
      </c>
      <c r="K141" s="2566">
        <v>0</v>
      </c>
      <c r="L141" s="2566">
        <v>0</v>
      </c>
      <c r="M141" s="3126">
        <v>0</v>
      </c>
      <c r="N141" s="2518">
        <v>0</v>
      </c>
      <c r="O141" s="2518">
        <f>+'[4]Č.p. 65'!$B$4</f>
        <v>0</v>
      </c>
      <c r="P141" s="2519">
        <f t="shared" si="7"/>
        <v>0</v>
      </c>
      <c r="Q141" s="2518"/>
      <c r="R141" s="2518"/>
      <c r="S141" s="2518"/>
      <c r="T141" s="2518"/>
      <c r="U141" s="2518"/>
      <c r="V141" s="2487"/>
      <c r="W141" s="2530"/>
    </row>
    <row r="142" spans="1:23" s="2571" customFormat="1" ht="12" hidden="1" customHeight="1" outlineLevel="1">
      <c r="A142" s="2564"/>
      <c r="B142" s="2578" t="s">
        <v>490</v>
      </c>
      <c r="C142" s="2565"/>
      <c r="D142" s="2566"/>
      <c r="E142" s="2566"/>
      <c r="F142" s="2567"/>
      <c r="G142" s="2566" t="s">
        <v>638</v>
      </c>
      <c r="H142" s="2566">
        <v>0</v>
      </c>
      <c r="I142" s="2566">
        <v>0</v>
      </c>
      <c r="J142" s="2566">
        <v>0</v>
      </c>
      <c r="K142" s="2566">
        <v>0</v>
      </c>
      <c r="L142" s="2566">
        <v>0</v>
      </c>
      <c r="M142" s="3126">
        <v>0</v>
      </c>
      <c r="N142" s="2518">
        <v>0</v>
      </c>
      <c r="O142" s="2518">
        <f>+'[4]Č.p. 65'!$B$5</f>
        <v>0</v>
      </c>
      <c r="P142" s="2519">
        <f t="shared" si="7"/>
        <v>0</v>
      </c>
      <c r="Q142" s="2518"/>
      <c r="R142" s="2518"/>
      <c r="S142" s="2518"/>
      <c r="T142" s="2518"/>
      <c r="U142" s="2518"/>
      <c r="V142" s="2487"/>
      <c r="W142" s="2530"/>
    </row>
    <row r="143" spans="1:23" s="2571" customFormat="1" ht="12" hidden="1" customHeight="1" outlineLevel="1" thickBot="1">
      <c r="A143" s="2624">
        <v>3114</v>
      </c>
      <c r="B143" s="2580" t="s">
        <v>490</v>
      </c>
      <c r="C143" s="2585"/>
      <c r="D143" s="2581"/>
      <c r="E143" s="2581"/>
      <c r="F143" s="2582"/>
      <c r="G143" s="2581" t="s">
        <v>638</v>
      </c>
      <c r="H143" s="2581"/>
      <c r="I143" s="2581"/>
      <c r="J143" s="2581"/>
      <c r="K143" s="2581"/>
      <c r="L143" s="2581"/>
      <c r="M143" s="3128"/>
      <c r="N143" s="2557"/>
      <c r="O143" s="2557"/>
      <c r="P143" s="2558">
        <f t="shared" si="7"/>
        <v>0</v>
      </c>
      <c r="Q143" s="2557"/>
      <c r="R143" s="2557"/>
      <c r="S143" s="2557"/>
      <c r="T143" s="2557"/>
      <c r="U143" s="2557"/>
      <c r="V143" s="2487"/>
      <c r="W143" s="2530"/>
    </row>
    <row r="144" spans="1:23" ht="13.9" collapsed="1" thickBot="1">
      <c r="A144" s="3276" t="s">
        <v>626</v>
      </c>
      <c r="B144" s="3277"/>
      <c r="C144" s="2523"/>
      <c r="D144" s="2524"/>
      <c r="E144" s="2524"/>
      <c r="F144" s="2525"/>
      <c r="G144" s="2524"/>
      <c r="H144" s="2524">
        <v>0</v>
      </c>
      <c r="I144" s="2524">
        <v>0</v>
      </c>
      <c r="J144" s="2524">
        <v>0</v>
      </c>
      <c r="K144" s="2524">
        <v>0</v>
      </c>
      <c r="L144" s="2524">
        <v>0</v>
      </c>
      <c r="M144" s="3123">
        <v>0</v>
      </c>
      <c r="N144" s="2526">
        <v>0</v>
      </c>
      <c r="O144" s="2526">
        <f>SUM(O141:O143)</f>
        <v>0</v>
      </c>
      <c r="P144" s="2527">
        <f t="shared" si="7"/>
        <v>0</v>
      </c>
      <c r="Q144" s="2528"/>
      <c r="R144" s="2528">
        <f>SUM(R141:R143)</f>
        <v>0</v>
      </c>
      <c r="S144" s="2528"/>
      <c r="T144" s="2528"/>
      <c r="U144" s="2528"/>
      <c r="V144" s="2529">
        <f>'Výdaje kapitol celkem'!BM72</f>
        <v>0</v>
      </c>
      <c r="W144" s="2530">
        <f>+V144-O144</f>
        <v>0</v>
      </c>
    </row>
    <row r="145" spans="1:23" s="2571" customFormat="1" ht="13.5" hidden="1" outlineLevel="1">
      <c r="A145" s="2564"/>
      <c r="B145" s="2578" t="s">
        <v>148</v>
      </c>
      <c r="C145" s="2565" t="s">
        <v>1645</v>
      </c>
      <c r="D145" s="2566"/>
      <c r="E145" s="2566"/>
      <c r="F145" s="2567"/>
      <c r="G145" s="2566" t="s">
        <v>638</v>
      </c>
      <c r="H145" s="2566"/>
      <c r="I145" s="2566"/>
      <c r="J145" s="2566"/>
      <c r="K145" s="2566"/>
      <c r="L145" s="2566"/>
      <c r="M145" s="3126"/>
      <c r="N145" s="2518"/>
      <c r="O145" s="2518"/>
      <c r="P145" s="2519">
        <f t="shared" si="7"/>
        <v>0</v>
      </c>
      <c r="Q145" s="2518"/>
      <c r="R145" s="2518"/>
      <c r="S145" s="2518"/>
      <c r="T145" s="2518"/>
      <c r="U145" s="2518"/>
      <c r="V145" s="2487"/>
      <c r="W145" s="2530"/>
    </row>
    <row r="146" spans="1:23" s="2571" customFormat="1" ht="13.5" hidden="1" outlineLevel="1">
      <c r="A146" s="2564"/>
      <c r="B146" s="2578" t="s">
        <v>148</v>
      </c>
      <c r="C146" s="2565" t="s">
        <v>2399</v>
      </c>
      <c r="D146" s="2566"/>
      <c r="E146" s="2566"/>
      <c r="F146" s="2567"/>
      <c r="G146" s="2566"/>
      <c r="H146" s="2566"/>
      <c r="I146" s="2566"/>
      <c r="J146" s="2566"/>
      <c r="K146" s="2566"/>
      <c r="L146" s="2566"/>
      <c r="M146" s="3126"/>
      <c r="N146" s="2518"/>
      <c r="O146" s="2518"/>
      <c r="P146" s="2519">
        <f t="shared" si="7"/>
        <v>0</v>
      </c>
      <c r="Q146" s="2518"/>
      <c r="R146" s="2518"/>
      <c r="S146" s="2518"/>
      <c r="T146" s="2518"/>
      <c r="U146" s="2518"/>
      <c r="V146" s="2487"/>
      <c r="W146" s="2530"/>
    </row>
    <row r="147" spans="1:23" s="2571" customFormat="1" ht="26.65" outlineLevel="1">
      <c r="A147" s="2564"/>
      <c r="B147" s="2578" t="s">
        <v>148</v>
      </c>
      <c r="C147" s="2565" t="s">
        <v>2801</v>
      </c>
      <c r="D147" s="2566"/>
      <c r="E147" s="2566"/>
      <c r="F147" s="2567"/>
      <c r="G147" s="2566"/>
      <c r="H147" s="2566"/>
      <c r="I147" s="2566"/>
      <c r="J147" s="2566"/>
      <c r="K147" s="2566"/>
      <c r="L147" s="2566">
        <v>200000</v>
      </c>
      <c r="M147" s="3126">
        <v>200000</v>
      </c>
      <c r="N147" s="2518">
        <v>200000</v>
      </c>
      <c r="O147" s="2518">
        <f>+'[3]MŠ Kollárova'!$B$22</f>
        <v>200000</v>
      </c>
      <c r="P147" s="2519">
        <f t="shared" si="7"/>
        <v>0</v>
      </c>
      <c r="Q147" s="2518"/>
      <c r="R147" s="2518"/>
      <c r="S147" s="2518"/>
      <c r="T147" s="2518"/>
      <c r="U147" s="2518"/>
      <c r="V147" s="2487"/>
      <c r="W147" s="2530"/>
    </row>
    <row r="148" spans="1:23" s="2571" customFormat="1" ht="13.5" outlineLevel="1">
      <c r="A148" s="2564"/>
      <c r="B148" s="2625" t="s">
        <v>148</v>
      </c>
      <c r="C148" s="2626" t="s">
        <v>1631</v>
      </c>
      <c r="D148" s="2620"/>
      <c r="E148" s="2620"/>
      <c r="F148" s="2627"/>
      <c r="G148" s="2620" t="s">
        <v>4</v>
      </c>
      <c r="H148" s="2620"/>
      <c r="I148" s="2620"/>
      <c r="J148" s="2620"/>
      <c r="K148" s="2620"/>
      <c r="L148" s="2620"/>
      <c r="M148" s="3137"/>
      <c r="N148" s="2628"/>
      <c r="O148" s="2628"/>
      <c r="P148" s="2629">
        <f t="shared" si="7"/>
        <v>0</v>
      </c>
      <c r="Q148" s="2628"/>
      <c r="R148" s="2628"/>
      <c r="S148" s="2628"/>
      <c r="T148" s="2628"/>
      <c r="U148" s="2628"/>
      <c r="V148" s="2487"/>
      <c r="W148" s="2530"/>
    </row>
    <row r="149" spans="1:23" s="2571" customFormat="1" ht="13.5" hidden="1" outlineLevel="1">
      <c r="A149" s="2564"/>
      <c r="B149" s="2578" t="s">
        <v>148</v>
      </c>
      <c r="C149" s="2565" t="s">
        <v>1646</v>
      </c>
      <c r="D149" s="2566"/>
      <c r="E149" s="2566"/>
      <c r="F149" s="2567"/>
      <c r="G149" s="2566" t="s">
        <v>638</v>
      </c>
      <c r="H149" s="2566"/>
      <c r="I149" s="2566"/>
      <c r="J149" s="2566"/>
      <c r="K149" s="2566"/>
      <c r="L149" s="2566"/>
      <c r="M149" s="3126"/>
      <c r="N149" s="2518"/>
      <c r="O149" s="2518"/>
      <c r="P149" s="2519">
        <f t="shared" si="7"/>
        <v>0</v>
      </c>
      <c r="Q149" s="2518"/>
      <c r="R149" s="2518"/>
      <c r="S149" s="2518"/>
      <c r="T149" s="2518"/>
      <c r="U149" s="2518"/>
      <c r="V149" s="2487"/>
      <c r="W149" s="2530"/>
    </row>
    <row r="150" spans="1:23" s="2571" customFormat="1" ht="13.5" hidden="1" outlineLevel="1">
      <c r="A150" s="2564"/>
      <c r="B150" s="2578" t="s">
        <v>148</v>
      </c>
      <c r="C150" s="2565" t="s">
        <v>1647</v>
      </c>
      <c r="D150" s="2566"/>
      <c r="E150" s="2566"/>
      <c r="F150" s="2567"/>
      <c r="G150" s="2566" t="s">
        <v>638</v>
      </c>
      <c r="H150" s="2566"/>
      <c r="I150" s="2566"/>
      <c r="J150" s="2566"/>
      <c r="K150" s="2566"/>
      <c r="L150" s="2566"/>
      <c r="M150" s="3126"/>
      <c r="N150" s="2518"/>
      <c r="O150" s="2518"/>
      <c r="P150" s="2519">
        <f t="shared" si="7"/>
        <v>0</v>
      </c>
      <c r="Q150" s="2518"/>
      <c r="R150" s="2518"/>
      <c r="S150" s="2518"/>
      <c r="T150" s="2518"/>
      <c r="U150" s="2518"/>
      <c r="V150" s="2487"/>
      <c r="W150" s="2530"/>
    </row>
    <row r="151" spans="1:23" s="2571" customFormat="1" ht="13.5" hidden="1" outlineLevel="1">
      <c r="A151" s="2564"/>
      <c r="B151" s="2578" t="s">
        <v>148</v>
      </c>
      <c r="C151" s="2565" t="s">
        <v>1648</v>
      </c>
      <c r="D151" s="2566"/>
      <c r="E151" s="2566"/>
      <c r="F151" s="2567"/>
      <c r="G151" s="2566" t="s">
        <v>638</v>
      </c>
      <c r="H151" s="2566"/>
      <c r="I151" s="2566"/>
      <c r="J151" s="2566"/>
      <c r="K151" s="2566"/>
      <c r="L151" s="2566"/>
      <c r="M151" s="3126"/>
      <c r="N151" s="2518"/>
      <c r="O151" s="2518"/>
      <c r="P151" s="2519">
        <f t="shared" si="7"/>
        <v>0</v>
      </c>
      <c r="Q151" s="2518"/>
      <c r="R151" s="2518"/>
      <c r="S151" s="2518"/>
      <c r="T151" s="2518"/>
      <c r="U151" s="2518"/>
      <c r="V151" s="2487"/>
      <c r="W151" s="2530"/>
    </row>
    <row r="152" spans="1:23" s="2571" customFormat="1" ht="13.5" hidden="1" outlineLevel="1">
      <c r="A152" s="2564"/>
      <c r="B152" s="2578" t="s">
        <v>148</v>
      </c>
      <c r="C152" s="2565" t="s">
        <v>1649</v>
      </c>
      <c r="D152" s="2566"/>
      <c r="E152" s="2566"/>
      <c r="F152" s="2567"/>
      <c r="G152" s="2566" t="s">
        <v>638</v>
      </c>
      <c r="H152" s="2566"/>
      <c r="I152" s="2566"/>
      <c r="J152" s="2566"/>
      <c r="K152" s="2566"/>
      <c r="L152" s="2566"/>
      <c r="M152" s="3126"/>
      <c r="N152" s="2518"/>
      <c r="O152" s="2518"/>
      <c r="P152" s="2519">
        <f t="shared" si="7"/>
        <v>0</v>
      </c>
      <c r="Q152" s="2518"/>
      <c r="R152" s="2518"/>
      <c r="S152" s="2518"/>
      <c r="T152" s="2518"/>
      <c r="U152" s="2518"/>
      <c r="V152" s="2487"/>
      <c r="W152" s="2530"/>
    </row>
    <row r="153" spans="1:23" s="2571" customFormat="1" ht="13.5" hidden="1" outlineLevel="1">
      <c r="A153" s="2564"/>
      <c r="B153" s="2577" t="s">
        <v>148</v>
      </c>
      <c r="C153" s="2572" t="s">
        <v>1650</v>
      </c>
      <c r="D153" s="2573"/>
      <c r="E153" s="2612"/>
      <c r="F153" s="2630"/>
      <c r="G153" s="2573" t="s">
        <v>638</v>
      </c>
      <c r="H153" s="2566"/>
      <c r="I153" s="2566"/>
      <c r="J153" s="2566"/>
      <c r="K153" s="2566"/>
      <c r="L153" s="2566"/>
      <c r="M153" s="3126"/>
      <c r="N153" s="2518"/>
      <c r="O153" s="2518"/>
      <c r="P153" s="2631">
        <f t="shared" si="7"/>
        <v>0</v>
      </c>
      <c r="Q153" s="2632"/>
      <c r="R153" s="2632"/>
      <c r="S153" s="2632"/>
      <c r="T153" s="2632"/>
      <c r="U153" s="2632"/>
      <c r="V153" s="2487"/>
      <c r="W153" s="2530"/>
    </row>
    <row r="154" spans="1:23" s="2571" customFormat="1" ht="13.5" hidden="1" outlineLevel="1">
      <c r="A154" s="2564"/>
      <c r="B154" s="2578" t="s">
        <v>148</v>
      </c>
      <c r="C154" s="2565" t="s">
        <v>1651</v>
      </c>
      <c r="D154" s="2566"/>
      <c r="E154" s="2616"/>
      <c r="F154" s="2633"/>
      <c r="G154" s="2566" t="s">
        <v>638</v>
      </c>
      <c r="H154" s="2566"/>
      <c r="I154" s="2566"/>
      <c r="J154" s="2566"/>
      <c r="K154" s="2566"/>
      <c r="L154" s="2566"/>
      <c r="M154" s="3126"/>
      <c r="N154" s="2518"/>
      <c r="O154" s="2518"/>
      <c r="P154" s="2634">
        <f t="shared" si="7"/>
        <v>0</v>
      </c>
      <c r="Q154" s="2521"/>
      <c r="R154" s="2521"/>
      <c r="S154" s="2521"/>
      <c r="T154" s="2521"/>
      <c r="U154" s="2521"/>
      <c r="V154" s="2487"/>
      <c r="W154" s="2530"/>
    </row>
    <row r="155" spans="1:23" s="2571" customFormat="1" ht="13.9" outlineLevel="1" thickBot="1">
      <c r="A155" s="2624" t="s">
        <v>1652</v>
      </c>
      <c r="B155" s="2580" t="s">
        <v>148</v>
      </c>
      <c r="C155" s="2585" t="s">
        <v>1653</v>
      </c>
      <c r="D155" s="2581"/>
      <c r="E155" s="2597"/>
      <c r="F155" s="2598"/>
      <c r="G155" s="2581"/>
      <c r="H155" s="2607"/>
      <c r="I155" s="2607"/>
      <c r="J155" s="2607"/>
      <c r="K155" s="2607"/>
      <c r="L155" s="2607"/>
      <c r="M155" s="3129"/>
      <c r="N155" s="2537"/>
      <c r="O155" s="2537"/>
      <c r="P155" s="2635">
        <f t="shared" si="7"/>
        <v>0</v>
      </c>
      <c r="Q155" s="2636"/>
      <c r="R155" s="2636"/>
      <c r="S155" s="2636"/>
      <c r="T155" s="2636"/>
      <c r="U155" s="2636"/>
      <c r="V155" s="2487"/>
      <c r="W155" s="2530"/>
    </row>
    <row r="156" spans="1:23" ht="13.9" thickBot="1">
      <c r="A156" s="3276" t="s">
        <v>627</v>
      </c>
      <c r="B156" s="3277"/>
      <c r="C156" s="2523"/>
      <c r="D156" s="2524"/>
      <c r="E156" s="2524"/>
      <c r="F156" s="2525"/>
      <c r="G156" s="2524"/>
      <c r="H156" s="2524">
        <v>0</v>
      </c>
      <c r="I156" s="2524">
        <v>0</v>
      </c>
      <c r="J156" s="2524">
        <v>0</v>
      </c>
      <c r="K156" s="2524">
        <v>0</v>
      </c>
      <c r="L156" s="2524">
        <v>200000</v>
      </c>
      <c r="M156" s="3123">
        <v>200000</v>
      </c>
      <c r="N156" s="2526">
        <v>200000</v>
      </c>
      <c r="O156" s="2526">
        <f>SUM(O145:O155)</f>
        <v>200000</v>
      </c>
      <c r="P156" s="2527">
        <f t="shared" si="7"/>
        <v>0</v>
      </c>
      <c r="Q156" s="2528"/>
      <c r="R156" s="2528">
        <f t="shared" ref="R156" si="8">SUM(R145:R153)</f>
        <v>0</v>
      </c>
      <c r="S156" s="2528"/>
      <c r="T156" s="2528"/>
      <c r="U156" s="2528"/>
      <c r="V156" s="2529">
        <f>'Výdaje kapitol celkem'!BV72</f>
        <v>200000</v>
      </c>
      <c r="W156" s="2530">
        <f>+V156-O156</f>
        <v>0</v>
      </c>
    </row>
    <row r="157" spans="1:23" s="2571" customFormat="1" ht="12" customHeight="1" outlineLevel="1">
      <c r="A157" s="2532"/>
      <c r="B157" s="2515" t="s">
        <v>1125</v>
      </c>
      <c r="C157" s="2565" t="s">
        <v>2800</v>
      </c>
      <c r="D157" s="2566"/>
      <c r="E157" s="2566"/>
      <c r="F157" s="2567"/>
      <c r="G157" s="2566" t="s">
        <v>638</v>
      </c>
      <c r="H157" s="2566">
        <v>770000</v>
      </c>
      <c r="I157" s="2566">
        <v>770000</v>
      </c>
      <c r="J157" s="2566">
        <v>770000</v>
      </c>
      <c r="K157" s="2566">
        <v>770000</v>
      </c>
      <c r="L157" s="2566">
        <v>770000</v>
      </c>
      <c r="M157" s="3126">
        <v>770000</v>
      </c>
      <c r="N157" s="2518">
        <v>770000</v>
      </c>
      <c r="O157" s="2518">
        <f>+'[4]MŠ Pražská'!$B$4</f>
        <v>770000</v>
      </c>
      <c r="P157" s="2519">
        <f t="shared" si="7"/>
        <v>0</v>
      </c>
      <c r="Q157" s="2518"/>
      <c r="R157" s="2518"/>
      <c r="S157" s="2518"/>
      <c r="T157" s="2518"/>
      <c r="U157" s="2518"/>
      <c r="V157" s="2487"/>
      <c r="W157" s="2530"/>
    </row>
    <row r="158" spans="1:23" s="2571" customFormat="1" ht="12" customHeight="1" outlineLevel="1">
      <c r="A158" s="2532"/>
      <c r="B158" s="2515" t="s">
        <v>1125</v>
      </c>
      <c r="C158" s="2565" t="s">
        <v>2170</v>
      </c>
      <c r="D158" s="2566"/>
      <c r="E158" s="2566"/>
      <c r="F158" s="2567"/>
      <c r="G158" s="2566" t="s">
        <v>638</v>
      </c>
      <c r="H158" s="2566">
        <v>0</v>
      </c>
      <c r="I158" s="2566">
        <v>0</v>
      </c>
      <c r="J158" s="2566">
        <v>0</v>
      </c>
      <c r="K158" s="2566">
        <v>0</v>
      </c>
      <c r="L158" s="2566">
        <v>10000</v>
      </c>
      <c r="M158" s="3126">
        <v>10000</v>
      </c>
      <c r="N158" s="2518">
        <v>10000</v>
      </c>
      <c r="O158" s="2518">
        <f>+'[4]MŠ Pražská'!$B$5</f>
        <v>10000</v>
      </c>
      <c r="P158" s="2519">
        <f t="shared" si="7"/>
        <v>0</v>
      </c>
      <c r="Q158" s="2518"/>
      <c r="R158" s="2518"/>
      <c r="S158" s="2518"/>
      <c r="T158" s="2518"/>
      <c r="U158" s="2518"/>
      <c r="V158" s="2487"/>
      <c r="W158" s="2530"/>
    </row>
    <row r="159" spans="1:23" s="2571" customFormat="1" ht="12" customHeight="1" outlineLevel="1" thickBot="1">
      <c r="A159" s="2533" t="s">
        <v>193</v>
      </c>
      <c r="B159" s="2637" t="s">
        <v>1125</v>
      </c>
      <c r="C159" s="2594"/>
      <c r="D159" s="2586"/>
      <c r="E159" s="2586"/>
      <c r="F159" s="2595"/>
      <c r="G159" s="2586"/>
      <c r="H159" s="2586"/>
      <c r="I159" s="2586"/>
      <c r="J159" s="2586"/>
      <c r="K159" s="2586"/>
      <c r="L159" s="2586"/>
      <c r="M159" s="3129"/>
      <c r="N159" s="2537"/>
      <c r="O159" s="2537"/>
      <c r="P159" s="2538">
        <f t="shared" si="7"/>
        <v>0</v>
      </c>
      <c r="Q159" s="2537"/>
      <c r="R159" s="2537"/>
      <c r="S159" s="2537"/>
      <c r="T159" s="2537"/>
      <c r="U159" s="2537"/>
      <c r="V159" s="2487"/>
      <c r="W159" s="2530"/>
    </row>
    <row r="160" spans="1:23" ht="13.9" thickBot="1">
      <c r="A160" s="3276" t="s">
        <v>1124</v>
      </c>
      <c r="B160" s="3277"/>
      <c r="C160" s="2523"/>
      <c r="D160" s="2524"/>
      <c r="E160" s="2524"/>
      <c r="F160" s="2525"/>
      <c r="G160" s="2524"/>
      <c r="H160" s="2524">
        <v>770000</v>
      </c>
      <c r="I160" s="2524">
        <v>770000</v>
      </c>
      <c r="J160" s="2524">
        <v>770000</v>
      </c>
      <c r="K160" s="2524">
        <v>770000</v>
      </c>
      <c r="L160" s="2524">
        <v>780000</v>
      </c>
      <c r="M160" s="3123">
        <v>780000</v>
      </c>
      <c r="N160" s="2526">
        <v>780000</v>
      </c>
      <c r="O160" s="2526">
        <f>SUM(O157:O159)</f>
        <v>780000</v>
      </c>
      <c r="P160" s="2527">
        <f t="shared" si="7"/>
        <v>0</v>
      </c>
      <c r="Q160" s="2528"/>
      <c r="R160" s="2528">
        <f>SUM(R157:R159)</f>
        <v>0</v>
      </c>
      <c r="S160" s="2528"/>
      <c r="T160" s="2528"/>
      <c r="U160" s="2528"/>
      <c r="V160" s="2529">
        <f>'Výdaje kapitol celkem'!BS61+'Výdaje kapitol celkem'!BS62</f>
        <v>780000</v>
      </c>
      <c r="W160" s="2530">
        <f>+V160-O160</f>
        <v>0</v>
      </c>
    </row>
    <row r="161" spans="1:23" s="2571" customFormat="1" ht="12" hidden="1" customHeight="1" outlineLevel="1">
      <c r="A161" s="2532"/>
      <c r="B161" s="2515" t="s">
        <v>261</v>
      </c>
      <c r="C161" s="2565" t="s">
        <v>2173</v>
      </c>
      <c r="D161" s="2566"/>
      <c r="E161" s="2566"/>
      <c r="F161" s="2567"/>
      <c r="G161" s="2566" t="s">
        <v>638</v>
      </c>
      <c r="H161" s="2566">
        <v>0</v>
      </c>
      <c r="I161" s="2566">
        <v>0</v>
      </c>
      <c r="J161" s="2566">
        <v>0</v>
      </c>
      <c r="K161" s="2566">
        <v>0</v>
      </c>
      <c r="L161" s="2566">
        <v>0</v>
      </c>
      <c r="M161" s="3126">
        <v>0</v>
      </c>
      <c r="N161" s="2518">
        <v>0</v>
      </c>
      <c r="O161" s="2518">
        <f>+'[4]Jídelna ZŠ'!$B$3</f>
        <v>0</v>
      </c>
      <c r="P161" s="2519">
        <f t="shared" si="7"/>
        <v>0</v>
      </c>
      <c r="Q161" s="2518"/>
      <c r="R161" s="2518"/>
      <c r="S161" s="2518"/>
      <c r="T161" s="2518"/>
      <c r="U161" s="2518"/>
      <c r="V161" s="2487"/>
      <c r="W161" s="2530"/>
    </row>
    <row r="162" spans="1:23" s="2571" customFormat="1" ht="12" hidden="1" customHeight="1" outlineLevel="1">
      <c r="A162" s="2532"/>
      <c r="B162" s="2515" t="s">
        <v>261</v>
      </c>
      <c r="C162" s="2565" t="s">
        <v>2174</v>
      </c>
      <c r="D162" s="2566"/>
      <c r="E162" s="2566"/>
      <c r="F162" s="2567"/>
      <c r="G162" s="2566" t="s">
        <v>638</v>
      </c>
      <c r="H162" s="2566">
        <v>0</v>
      </c>
      <c r="I162" s="2566">
        <v>0</v>
      </c>
      <c r="J162" s="2566">
        <v>0</v>
      </c>
      <c r="K162" s="2566">
        <v>0</v>
      </c>
      <c r="L162" s="2566">
        <v>0</v>
      </c>
      <c r="M162" s="3126">
        <v>0</v>
      </c>
      <c r="N162" s="2518">
        <v>0</v>
      </c>
      <c r="O162" s="2518">
        <f>+'[4]Jídelna ZŠ'!$B$4</f>
        <v>0</v>
      </c>
      <c r="P162" s="2519">
        <f t="shared" si="7"/>
        <v>0</v>
      </c>
      <c r="Q162" s="2518"/>
      <c r="R162" s="2518"/>
      <c r="S162" s="2518"/>
      <c r="T162" s="2518"/>
      <c r="U162" s="2518"/>
      <c r="V162" s="2487"/>
      <c r="W162" s="2530"/>
    </row>
    <row r="163" spans="1:23" s="2571" customFormat="1" ht="12" hidden="1" customHeight="1" outlineLevel="1">
      <c r="A163" s="2532"/>
      <c r="B163" s="2559" t="s">
        <v>261</v>
      </c>
      <c r="C163" s="2572" t="s">
        <v>1651</v>
      </c>
      <c r="D163" s="2573"/>
      <c r="E163" s="2573"/>
      <c r="F163" s="2574"/>
      <c r="G163" s="2573" t="s">
        <v>638</v>
      </c>
      <c r="H163" s="2573">
        <v>0</v>
      </c>
      <c r="I163" s="2573">
        <v>0</v>
      </c>
      <c r="J163" s="2573">
        <v>0</v>
      </c>
      <c r="K163" s="2573">
        <v>0</v>
      </c>
      <c r="L163" s="2573">
        <v>0</v>
      </c>
      <c r="M163" s="3127">
        <v>0</v>
      </c>
      <c r="N163" s="2563">
        <v>0</v>
      </c>
      <c r="O163" s="2563">
        <f>+'[4]Jídelna ZŠ'!$B$14</f>
        <v>0</v>
      </c>
      <c r="P163" s="2638">
        <f t="shared" si="7"/>
        <v>0</v>
      </c>
      <c r="Q163" s="2563"/>
      <c r="R163" s="2563"/>
      <c r="S163" s="2563"/>
      <c r="T163" s="2563"/>
      <c r="U163" s="2563"/>
      <c r="V163" s="2487"/>
      <c r="W163" s="2530"/>
    </row>
    <row r="164" spans="1:23" s="2571" customFormat="1" ht="12" hidden="1" customHeight="1" outlineLevel="1">
      <c r="A164" s="2532"/>
      <c r="B164" s="2606" t="s">
        <v>261</v>
      </c>
      <c r="C164" s="2639" t="s">
        <v>1653</v>
      </c>
      <c r="D164" s="2607"/>
      <c r="E164" s="2607"/>
      <c r="F164" s="2610"/>
      <c r="G164" s="2607" t="s">
        <v>638</v>
      </c>
      <c r="H164" s="2607">
        <v>0</v>
      </c>
      <c r="I164" s="2607">
        <v>0</v>
      </c>
      <c r="J164" s="2607">
        <v>0</v>
      </c>
      <c r="K164" s="2607">
        <v>0</v>
      </c>
      <c r="L164" s="2607">
        <v>0</v>
      </c>
      <c r="M164" s="3138">
        <v>0</v>
      </c>
      <c r="N164" s="2640">
        <v>0</v>
      </c>
      <c r="O164" s="2640">
        <f>+'[4]Jídelna ZŠ'!$B$15</f>
        <v>0</v>
      </c>
      <c r="P164" s="2641">
        <f t="shared" si="7"/>
        <v>0</v>
      </c>
      <c r="Q164" s="2640"/>
      <c r="R164" s="2640"/>
      <c r="S164" s="2640"/>
      <c r="T164" s="2640"/>
      <c r="U164" s="2640"/>
      <c r="V164" s="2487"/>
      <c r="W164" s="2530"/>
    </row>
    <row r="165" spans="1:23" s="2571" customFormat="1" ht="12" hidden="1" customHeight="1" outlineLevel="1">
      <c r="A165" s="2532"/>
      <c r="B165" s="2559" t="s">
        <v>261</v>
      </c>
      <c r="C165" s="2572" t="s">
        <v>2175</v>
      </c>
      <c r="D165" s="2573"/>
      <c r="E165" s="2573"/>
      <c r="F165" s="2574"/>
      <c r="G165" s="2573" t="s">
        <v>638</v>
      </c>
      <c r="H165" s="2573">
        <v>0</v>
      </c>
      <c r="I165" s="2573">
        <v>0</v>
      </c>
      <c r="J165" s="2573">
        <v>0</v>
      </c>
      <c r="K165" s="2573">
        <v>0</v>
      </c>
      <c r="L165" s="2573">
        <v>0</v>
      </c>
      <c r="M165" s="3127">
        <v>0</v>
      </c>
      <c r="N165" s="2563">
        <v>0</v>
      </c>
      <c r="O165" s="2563">
        <f>+'[4]Jídelna ZŠ'!$B$25</f>
        <v>0</v>
      </c>
      <c r="P165" s="2638">
        <f t="shared" si="7"/>
        <v>0</v>
      </c>
      <c r="Q165" s="2563"/>
      <c r="R165" s="2563"/>
      <c r="S165" s="2563"/>
      <c r="T165" s="2563"/>
      <c r="U165" s="2563"/>
      <c r="V165" s="2487"/>
      <c r="W165" s="2530"/>
    </row>
    <row r="166" spans="1:23" s="2571" customFormat="1" ht="12" hidden="1" customHeight="1" outlineLevel="1" thickBot="1">
      <c r="A166" s="2533" t="s">
        <v>620</v>
      </c>
      <c r="B166" s="2553" t="s">
        <v>261</v>
      </c>
      <c r="C166" s="2585" t="s">
        <v>2176</v>
      </c>
      <c r="D166" s="2581"/>
      <c r="E166" s="2581"/>
      <c r="F166" s="2582"/>
      <c r="G166" s="2581" t="s">
        <v>638</v>
      </c>
      <c r="H166" s="2581">
        <v>0</v>
      </c>
      <c r="I166" s="2581">
        <v>0</v>
      </c>
      <c r="J166" s="2581">
        <v>0</v>
      </c>
      <c r="K166" s="2581">
        <v>0</v>
      </c>
      <c r="L166" s="2581">
        <v>0</v>
      </c>
      <c r="M166" s="3128">
        <v>0</v>
      </c>
      <c r="N166" s="2557">
        <v>0</v>
      </c>
      <c r="O166" s="2557">
        <f>+'[4]Jídelna ZŠ'!$B$26</f>
        <v>0</v>
      </c>
      <c r="P166" s="2558">
        <f t="shared" si="7"/>
        <v>0</v>
      </c>
      <c r="Q166" s="2557"/>
      <c r="R166" s="2557"/>
      <c r="S166" s="2557"/>
      <c r="T166" s="2557"/>
      <c r="U166" s="2557"/>
      <c r="V166" s="2487"/>
      <c r="W166" s="2530"/>
    </row>
    <row r="167" spans="1:23" ht="13.9" collapsed="1" thickBot="1">
      <c r="A167" s="3276" t="s">
        <v>628</v>
      </c>
      <c r="B167" s="3277"/>
      <c r="C167" s="2523"/>
      <c r="D167" s="2524"/>
      <c r="E167" s="2524"/>
      <c r="F167" s="2525"/>
      <c r="G167" s="2524"/>
      <c r="H167" s="2524"/>
      <c r="I167" s="2524"/>
      <c r="J167" s="2524"/>
      <c r="K167" s="2524"/>
      <c r="L167" s="2524"/>
      <c r="M167" s="3123"/>
      <c r="N167" s="2526"/>
      <c r="O167" s="2526"/>
      <c r="P167" s="2527">
        <f t="shared" si="7"/>
        <v>0</v>
      </c>
      <c r="Q167" s="2528"/>
      <c r="R167" s="2528">
        <f>SUM(R161:R166)</f>
        <v>0</v>
      </c>
      <c r="S167" s="2528"/>
      <c r="T167" s="2528"/>
      <c r="U167" s="2528"/>
      <c r="V167" s="2529">
        <f>'Výdaje kapitol celkem'!BY72</f>
        <v>0</v>
      </c>
      <c r="W167" s="2530">
        <f>+V167-O167</f>
        <v>0</v>
      </c>
    </row>
    <row r="168" spans="1:23" s="2571" customFormat="1" ht="12" customHeight="1" outlineLevel="1">
      <c r="A168" s="2532"/>
      <c r="B168" s="2642" t="s">
        <v>491</v>
      </c>
      <c r="C168" s="2643" t="s">
        <v>1645</v>
      </c>
      <c r="D168" s="2566"/>
      <c r="E168" s="2566"/>
      <c r="F168" s="2567"/>
      <c r="G168" s="2566" t="s">
        <v>638</v>
      </c>
      <c r="H168" s="2970">
        <v>300000</v>
      </c>
      <c r="I168" s="2970">
        <v>300000</v>
      </c>
      <c r="J168" s="2970">
        <v>300000</v>
      </c>
      <c r="K168" s="2970">
        <v>300000</v>
      </c>
      <c r="L168" s="2970">
        <v>300000</v>
      </c>
      <c r="M168" s="3139">
        <v>300000</v>
      </c>
      <c r="N168" s="3148">
        <v>300000</v>
      </c>
      <c r="O168" s="3148">
        <f>+'[4]MŠ Cukrovar'!$B$7</f>
        <v>100000</v>
      </c>
      <c r="P168" s="3066">
        <f t="shared" si="7"/>
        <v>-200000</v>
      </c>
      <c r="Q168" s="2644">
        <f>+O168</f>
        <v>100000</v>
      </c>
      <c r="R168" s="2644"/>
      <c r="S168" s="2644"/>
      <c r="T168" s="2644"/>
      <c r="U168" s="2644"/>
      <c r="V168" s="2487"/>
      <c r="W168" s="2530"/>
    </row>
    <row r="169" spans="1:23" s="2571" customFormat="1" ht="12" hidden="1" customHeight="1" outlineLevel="1">
      <c r="A169" s="2532"/>
      <c r="B169" s="2645" t="s">
        <v>491</v>
      </c>
      <c r="C169" s="2565" t="s">
        <v>2399</v>
      </c>
      <c r="D169" s="2566"/>
      <c r="E169" s="2566"/>
      <c r="F169" s="2567"/>
      <c r="G169" s="2573" t="s">
        <v>638</v>
      </c>
      <c r="H169" s="2970"/>
      <c r="I169" s="2970"/>
      <c r="J169" s="2970"/>
      <c r="K169" s="2970"/>
      <c r="L169" s="2970"/>
      <c r="M169" s="3139"/>
      <c r="N169" s="3149"/>
      <c r="O169" s="3149"/>
      <c r="P169" s="3067">
        <f t="shared" si="7"/>
        <v>0</v>
      </c>
      <c r="Q169" s="2646"/>
      <c r="R169" s="2646"/>
      <c r="S169" s="2646"/>
      <c r="T169" s="2646"/>
      <c r="U169" s="2646"/>
      <c r="V169" s="2487"/>
      <c r="W169" s="2530"/>
    </row>
    <row r="170" spans="1:23" s="2571" customFormat="1" ht="12" customHeight="1" outlineLevel="1">
      <c r="A170" s="2532"/>
      <c r="B170" s="2647" t="s">
        <v>491</v>
      </c>
      <c r="C170" s="2648" t="s">
        <v>1631</v>
      </c>
      <c r="D170" s="2649"/>
      <c r="E170" s="2649"/>
      <c r="F170" s="2650"/>
      <c r="G170" s="2649" t="s">
        <v>4</v>
      </c>
      <c r="H170" s="2649">
        <v>30398512</v>
      </c>
      <c r="I170" s="2649">
        <v>30398512</v>
      </c>
      <c r="J170" s="2649">
        <v>30398512</v>
      </c>
      <c r="K170" s="2649">
        <v>30398512</v>
      </c>
      <c r="L170" s="2649">
        <v>30398512</v>
      </c>
      <c r="M170" s="3140">
        <v>30398512</v>
      </c>
      <c r="N170" s="2651">
        <v>30398512</v>
      </c>
      <c r="O170" s="2651">
        <f>+'[4]MŠ Cukrovar'!$C$18</f>
        <v>30398512</v>
      </c>
      <c r="P170" s="2652">
        <f t="shared" si="7"/>
        <v>0</v>
      </c>
      <c r="Q170" s="2653"/>
      <c r="R170" s="2654">
        <f>+'[4]MŠ Cukrovar'!$C$12</f>
        <v>30398512</v>
      </c>
      <c r="S170" s="2655"/>
      <c r="T170" s="2655"/>
      <c r="U170" s="2651" t="s">
        <v>2400</v>
      </c>
      <c r="V170" s="2487"/>
      <c r="W170" s="2530"/>
    </row>
    <row r="171" spans="1:23" s="2571" customFormat="1" ht="12" customHeight="1" outlineLevel="1">
      <c r="A171" s="2532"/>
      <c r="B171" s="2645" t="s">
        <v>491</v>
      </c>
      <c r="C171" s="2565" t="s">
        <v>1646</v>
      </c>
      <c r="D171" s="2566"/>
      <c r="E171" s="2566"/>
      <c r="F171" s="2567"/>
      <c r="G171" s="2566" t="s">
        <v>638</v>
      </c>
      <c r="H171" s="2970">
        <v>3750488</v>
      </c>
      <c r="I171" s="2970">
        <v>3750488</v>
      </c>
      <c r="J171" s="2970">
        <v>3750488</v>
      </c>
      <c r="K171" s="2970">
        <v>3750488</v>
      </c>
      <c r="L171" s="2970">
        <v>7936191</v>
      </c>
      <c r="M171" s="3139">
        <v>7936191</v>
      </c>
      <c r="N171" s="3149">
        <v>7936191</v>
      </c>
      <c r="O171" s="3149">
        <f>+'[4]MŠ Cukrovar'!$D$12</f>
        <v>6941488</v>
      </c>
      <c r="P171" s="3067">
        <f t="shared" si="7"/>
        <v>-994703</v>
      </c>
      <c r="Q171" s="2646">
        <f>+O171</f>
        <v>6941488</v>
      </c>
      <c r="R171" s="2646"/>
      <c r="S171" s="2646"/>
      <c r="T171" s="2646"/>
      <c r="U171" s="2646"/>
      <c r="V171" s="2487"/>
      <c r="W171" s="2530"/>
    </row>
    <row r="172" spans="1:23" s="2571" customFormat="1" ht="12" customHeight="1" outlineLevel="1">
      <c r="A172" s="2532"/>
      <c r="B172" s="2645" t="s">
        <v>491</v>
      </c>
      <c r="C172" s="2565" t="s">
        <v>1646</v>
      </c>
      <c r="D172" s="2566"/>
      <c r="E172" s="2566"/>
      <c r="F172" s="2567"/>
      <c r="G172" s="2566" t="s">
        <v>638</v>
      </c>
      <c r="H172" s="2970">
        <v>500000</v>
      </c>
      <c r="I172" s="2970">
        <v>500000</v>
      </c>
      <c r="J172" s="2970">
        <v>500000</v>
      </c>
      <c r="K172" s="2970">
        <v>500000</v>
      </c>
      <c r="L172" s="2970">
        <v>500000</v>
      </c>
      <c r="M172" s="3139">
        <v>500000</v>
      </c>
      <c r="N172" s="3149">
        <v>500000</v>
      </c>
      <c r="O172" s="3149">
        <f>+'[4]MŠ Cukrovar'!$B$13</f>
        <v>500000</v>
      </c>
      <c r="P172" s="3067">
        <f t="shared" si="7"/>
        <v>0</v>
      </c>
      <c r="Q172" s="2646">
        <f>+O172</f>
        <v>500000</v>
      </c>
      <c r="R172" s="2646"/>
      <c r="S172" s="2646"/>
      <c r="T172" s="2646"/>
      <c r="U172" s="2646"/>
      <c r="V172" s="2487"/>
      <c r="W172" s="2530"/>
    </row>
    <row r="173" spans="1:23" s="2571" customFormat="1" ht="12" customHeight="1" outlineLevel="1">
      <c r="A173" s="2532"/>
      <c r="B173" s="2645" t="s">
        <v>491</v>
      </c>
      <c r="C173" s="2565" t="s">
        <v>1647</v>
      </c>
      <c r="D173" s="2566"/>
      <c r="E173" s="2566"/>
      <c r="F173" s="2567"/>
      <c r="G173" s="2566" t="s">
        <v>638</v>
      </c>
      <c r="H173" s="2970">
        <v>100000</v>
      </c>
      <c r="I173" s="2970">
        <v>100000</v>
      </c>
      <c r="J173" s="2970">
        <v>100000</v>
      </c>
      <c r="K173" s="2970">
        <v>100000</v>
      </c>
      <c r="L173" s="2970">
        <v>100000</v>
      </c>
      <c r="M173" s="3139">
        <v>100000</v>
      </c>
      <c r="N173" s="3149">
        <v>100000</v>
      </c>
      <c r="O173" s="3149">
        <f>+'[4]MŠ Cukrovar'!$B$14</f>
        <v>100000</v>
      </c>
      <c r="P173" s="3067">
        <f t="shared" si="7"/>
        <v>0</v>
      </c>
      <c r="Q173" s="2646">
        <f>+O173</f>
        <v>100000</v>
      </c>
      <c r="R173" s="2646"/>
      <c r="S173" s="2646"/>
      <c r="T173" s="2646"/>
      <c r="U173" s="2646"/>
      <c r="V173" s="2487"/>
      <c r="W173" s="2530"/>
    </row>
    <row r="174" spans="1:23" s="2571" customFormat="1" ht="12" customHeight="1" outlineLevel="1">
      <c r="A174" s="2532"/>
      <c r="B174" s="2645" t="s">
        <v>491</v>
      </c>
      <c r="C174" s="2565" t="s">
        <v>1648</v>
      </c>
      <c r="D174" s="2566"/>
      <c r="E174" s="2566"/>
      <c r="F174" s="2567"/>
      <c r="G174" s="2566" t="s">
        <v>638</v>
      </c>
      <c r="H174" s="2970">
        <v>100000</v>
      </c>
      <c r="I174" s="2970">
        <v>100000</v>
      </c>
      <c r="J174" s="2970">
        <v>100000</v>
      </c>
      <c r="K174" s="2970">
        <v>100000</v>
      </c>
      <c r="L174" s="2970">
        <v>100000</v>
      </c>
      <c r="M174" s="3139">
        <v>100000</v>
      </c>
      <c r="N174" s="3149">
        <v>100000</v>
      </c>
      <c r="O174" s="3149">
        <f>+'[4]MŠ Cukrovar'!$B$15</f>
        <v>100000</v>
      </c>
      <c r="P174" s="3067">
        <f t="shared" si="7"/>
        <v>0</v>
      </c>
      <c r="Q174" s="2646">
        <f>+O174</f>
        <v>100000</v>
      </c>
      <c r="R174" s="2646"/>
      <c r="S174" s="2646"/>
      <c r="T174" s="2646"/>
      <c r="U174" s="2646"/>
      <c r="V174" s="2487"/>
      <c r="W174" s="2530"/>
    </row>
    <row r="175" spans="1:23" s="2571" customFormat="1" ht="12" customHeight="1" outlineLevel="1">
      <c r="A175" s="2532"/>
      <c r="B175" s="2645" t="s">
        <v>491</v>
      </c>
      <c r="C175" s="2565" t="s">
        <v>1649</v>
      </c>
      <c r="D175" s="2566"/>
      <c r="E175" s="2566"/>
      <c r="F175" s="2567"/>
      <c r="G175" s="2566" t="s">
        <v>638</v>
      </c>
      <c r="H175" s="2970">
        <v>100000</v>
      </c>
      <c r="I175" s="2970">
        <v>100000</v>
      </c>
      <c r="J175" s="2970">
        <v>100000</v>
      </c>
      <c r="K175" s="2970">
        <v>100000</v>
      </c>
      <c r="L175" s="2970">
        <v>100000</v>
      </c>
      <c r="M175" s="3139">
        <v>100000</v>
      </c>
      <c r="N175" s="3149">
        <v>100000</v>
      </c>
      <c r="O175" s="3149">
        <f>+'[4]MŠ Cukrovar'!$B$16</f>
        <v>100000</v>
      </c>
      <c r="P175" s="3067">
        <f t="shared" si="7"/>
        <v>0</v>
      </c>
      <c r="Q175" s="2646">
        <f>+O175</f>
        <v>100000</v>
      </c>
      <c r="R175" s="2646"/>
      <c r="S175" s="2646"/>
      <c r="T175" s="2646"/>
      <c r="U175" s="2646"/>
      <c r="V175" s="2487"/>
      <c r="W175" s="2530"/>
    </row>
    <row r="176" spans="1:23" s="2571" customFormat="1" ht="12" customHeight="1" outlineLevel="1">
      <c r="A176" s="2532"/>
      <c r="B176" s="2645" t="s">
        <v>491</v>
      </c>
      <c r="C176" s="2572" t="s">
        <v>1650</v>
      </c>
      <c r="D176" s="2573"/>
      <c r="E176" s="2612"/>
      <c r="F176" s="2630"/>
      <c r="G176" s="2573" t="s">
        <v>638</v>
      </c>
      <c r="H176" s="2971">
        <v>30000</v>
      </c>
      <c r="I176" s="2971">
        <v>30000</v>
      </c>
      <c r="J176" s="2971">
        <v>30000</v>
      </c>
      <c r="K176" s="2971">
        <v>30000</v>
      </c>
      <c r="L176" s="2971">
        <v>30000</v>
      </c>
      <c r="M176" s="3141">
        <v>30000</v>
      </c>
      <c r="N176" s="3150">
        <v>30000</v>
      </c>
      <c r="O176" s="3150">
        <f>+'[4]MŠ Cukrovar'!$B$17</f>
        <v>30000</v>
      </c>
      <c r="P176" s="3068">
        <f t="shared" si="7"/>
        <v>0</v>
      </c>
      <c r="Q176" s="2656"/>
      <c r="R176" s="2656"/>
      <c r="S176" s="2656"/>
      <c r="T176" s="2656"/>
      <c r="U176" s="2656"/>
      <c r="V176" s="2487"/>
      <c r="W176" s="2530"/>
    </row>
    <row r="177" spans="1:23" s="2571" customFormat="1" ht="12" customHeight="1" outlineLevel="1">
      <c r="A177" s="2532"/>
      <c r="B177" s="2645" t="s">
        <v>491</v>
      </c>
      <c r="C177" s="2565" t="s">
        <v>2275</v>
      </c>
      <c r="D177" s="2566"/>
      <c r="E177" s="2616"/>
      <c r="F177" s="2633"/>
      <c r="G177" s="2573" t="s">
        <v>638</v>
      </c>
      <c r="H177" s="2970">
        <v>3500000</v>
      </c>
      <c r="I177" s="2970">
        <v>3500000</v>
      </c>
      <c r="J177" s="2970">
        <v>3500000</v>
      </c>
      <c r="K177" s="2970">
        <v>3500000</v>
      </c>
      <c r="L177" s="2970">
        <v>3500000</v>
      </c>
      <c r="M177" s="3139">
        <v>3500000</v>
      </c>
      <c r="N177" s="3149">
        <v>3500000</v>
      </c>
      <c r="O177" s="3149">
        <f>+'[4]MŠ Cukrovar'!$B$21</f>
        <v>3500000</v>
      </c>
      <c r="P177" s="3067">
        <f t="shared" si="7"/>
        <v>0</v>
      </c>
      <c r="Q177" s="2646">
        <f>+O177</f>
        <v>3500000</v>
      </c>
      <c r="R177" s="2646"/>
      <c r="S177" s="2646"/>
      <c r="T177" s="2646"/>
      <c r="U177" s="2646"/>
      <c r="V177" s="2487"/>
      <c r="W177" s="2530"/>
    </row>
    <row r="178" spans="1:23" s="2571" customFormat="1" ht="12" hidden="1" customHeight="1" outlineLevel="1">
      <c r="A178" s="2532"/>
      <c r="B178" s="2645" t="s">
        <v>491</v>
      </c>
      <c r="C178" s="2565"/>
      <c r="D178" s="2566"/>
      <c r="E178" s="2616"/>
      <c r="F178" s="2633"/>
      <c r="G178" s="2573" t="s">
        <v>638</v>
      </c>
      <c r="H178" s="2970">
        <v>0</v>
      </c>
      <c r="I178" s="2970">
        <v>0</v>
      </c>
      <c r="J178" s="2970">
        <v>0</v>
      </c>
      <c r="K178" s="2970">
        <v>0</v>
      </c>
      <c r="L178" s="2970">
        <v>0</v>
      </c>
      <c r="M178" s="3139">
        <v>0</v>
      </c>
      <c r="N178" s="3149">
        <v>0</v>
      </c>
      <c r="O178" s="3149">
        <f>+'[4]MŠ Cukrovar'!$B$22</f>
        <v>0</v>
      </c>
      <c r="P178" s="3067">
        <f t="shared" si="7"/>
        <v>0</v>
      </c>
      <c r="Q178" s="2646"/>
      <c r="R178" s="2646"/>
      <c r="S178" s="2646"/>
      <c r="T178" s="2646"/>
      <c r="U178" s="2646"/>
      <c r="V178" s="2487"/>
      <c r="W178" s="2530"/>
    </row>
    <row r="179" spans="1:23" s="2571" customFormat="1" ht="12" customHeight="1" outlineLevel="1">
      <c r="A179" s="2532"/>
      <c r="B179" s="2645" t="s">
        <v>491</v>
      </c>
      <c r="C179" s="2565" t="s">
        <v>1651</v>
      </c>
      <c r="D179" s="2566"/>
      <c r="E179" s="2616"/>
      <c r="F179" s="2633"/>
      <c r="G179" s="2573" t="s">
        <v>638</v>
      </c>
      <c r="H179" s="2970">
        <v>250000</v>
      </c>
      <c r="I179" s="2970">
        <v>250000</v>
      </c>
      <c r="J179" s="2970">
        <v>250000</v>
      </c>
      <c r="K179" s="2970">
        <v>250000</v>
      </c>
      <c r="L179" s="2970">
        <v>250000</v>
      </c>
      <c r="M179" s="3139">
        <v>250000</v>
      </c>
      <c r="N179" s="3149">
        <v>250000</v>
      </c>
      <c r="O179" s="3149">
        <f>+'[4]MŠ Cukrovar'!$B$44</f>
        <v>250000</v>
      </c>
      <c r="P179" s="3067">
        <f t="shared" si="7"/>
        <v>0</v>
      </c>
      <c r="Q179" s="2646">
        <f>+O179</f>
        <v>250000</v>
      </c>
      <c r="R179" s="2646"/>
      <c r="S179" s="2646"/>
      <c r="T179" s="2646"/>
      <c r="U179" s="2646"/>
      <c r="V179" s="2487"/>
      <c r="W179" s="2530"/>
    </row>
    <row r="180" spans="1:23" s="2571" customFormat="1" ht="12" hidden="1" customHeight="1" outlineLevel="1" thickBot="1">
      <c r="A180" s="2532"/>
      <c r="B180" s="2645" t="s">
        <v>491</v>
      </c>
      <c r="C180" s="2572" t="s">
        <v>1653</v>
      </c>
      <c r="D180" s="2581"/>
      <c r="E180" s="2597"/>
      <c r="F180" s="2598"/>
      <c r="G180" s="2566" t="s">
        <v>638</v>
      </c>
      <c r="H180" s="2970">
        <v>0</v>
      </c>
      <c r="I180" s="2970">
        <v>0</v>
      </c>
      <c r="J180" s="2970">
        <v>0</v>
      </c>
      <c r="K180" s="2970">
        <v>0</v>
      </c>
      <c r="L180" s="2970">
        <v>0</v>
      </c>
      <c r="M180" s="3139">
        <v>0</v>
      </c>
      <c r="N180" s="3151">
        <v>0</v>
      </c>
      <c r="O180" s="3151">
        <f>+'[4]MŠ Cukrovar'!$B$41</f>
        <v>0</v>
      </c>
      <c r="P180" s="3069">
        <f t="shared" si="7"/>
        <v>0</v>
      </c>
      <c r="Q180" s="2657"/>
      <c r="R180" s="2657"/>
      <c r="S180" s="2657"/>
      <c r="T180" s="2657"/>
      <c r="U180" s="2657"/>
      <c r="V180" s="2487"/>
      <c r="W180" s="2530"/>
    </row>
    <row r="181" spans="1:23" s="2571" customFormat="1" ht="15" customHeight="1" outlineLevel="1" thickBot="1">
      <c r="A181" s="2533" t="s">
        <v>621</v>
      </c>
      <c r="B181" s="2658" t="s">
        <v>491</v>
      </c>
      <c r="C181" s="2659"/>
      <c r="D181" s="2660"/>
      <c r="E181" s="2660"/>
      <c r="F181" s="2661"/>
      <c r="G181" s="2660" t="s">
        <v>638</v>
      </c>
      <c r="H181" s="2660"/>
      <c r="I181" s="2660"/>
      <c r="J181" s="2660"/>
      <c r="K181" s="2660"/>
      <c r="L181" s="2660"/>
      <c r="M181" s="3142"/>
      <c r="N181" s="2662"/>
      <c r="O181" s="2662"/>
      <c r="P181" s="2663">
        <f t="shared" si="7"/>
        <v>0</v>
      </c>
      <c r="Q181" s="2662"/>
      <c r="R181" s="2662"/>
      <c r="S181" s="2662"/>
      <c r="T181" s="2662"/>
      <c r="U181" s="2662"/>
      <c r="V181" s="2487"/>
      <c r="W181" s="2530"/>
    </row>
    <row r="182" spans="1:23" ht="13.9" thickBot="1">
      <c r="A182" s="3276" t="s">
        <v>629</v>
      </c>
      <c r="B182" s="3277"/>
      <c r="C182" s="2523"/>
      <c r="D182" s="2524"/>
      <c r="E182" s="2524"/>
      <c r="F182" s="2525"/>
      <c r="G182" s="2524"/>
      <c r="H182" s="2524">
        <v>39029000</v>
      </c>
      <c r="I182" s="2524">
        <v>39029000</v>
      </c>
      <c r="J182" s="2524">
        <v>39029000</v>
      </c>
      <c r="K182" s="2524">
        <v>39029000</v>
      </c>
      <c r="L182" s="2524">
        <v>43214703</v>
      </c>
      <c r="M182" s="3123">
        <v>43214703</v>
      </c>
      <c r="N182" s="2526">
        <v>43214703</v>
      </c>
      <c r="O182" s="2526">
        <f>SUM(O168:O181)</f>
        <v>42020000</v>
      </c>
      <c r="P182" s="2527">
        <f t="shared" si="7"/>
        <v>-1194703</v>
      </c>
      <c r="Q182" s="2528"/>
      <c r="R182" s="2528">
        <f>SUM(R168:R181)</f>
        <v>30398512</v>
      </c>
      <c r="S182" s="2528"/>
      <c r="T182" s="2528"/>
      <c r="U182" s="2528"/>
      <c r="V182" s="2529">
        <f>'Výdaje kapitol celkem'!CC72</f>
        <v>42020000</v>
      </c>
      <c r="W182" s="2530">
        <f>+V182-O182</f>
        <v>0</v>
      </c>
    </row>
    <row r="183" spans="1:23" s="2571" customFormat="1" ht="12" customHeight="1" outlineLevel="1">
      <c r="A183" s="2564"/>
      <c r="B183" s="2506" t="s">
        <v>152</v>
      </c>
      <c r="C183" s="2565" t="s">
        <v>1682</v>
      </c>
      <c r="D183" s="2566"/>
      <c r="E183" s="2616"/>
      <c r="F183" s="2633"/>
      <c r="G183" s="2566" t="s">
        <v>638</v>
      </c>
      <c r="H183" s="2566">
        <v>351000</v>
      </c>
      <c r="I183" s="2566">
        <v>351000</v>
      </c>
      <c r="J183" s="2566">
        <v>351000</v>
      </c>
      <c r="K183" s="2566">
        <v>351000</v>
      </c>
      <c r="L183" s="2566">
        <v>351000</v>
      </c>
      <c r="M183" s="3126">
        <v>351000</v>
      </c>
      <c r="N183" s="2518">
        <v>351000</v>
      </c>
      <c r="O183" s="2518">
        <f>+[3]VO!$B$38</f>
        <v>51000</v>
      </c>
      <c r="P183" s="2519">
        <f t="shared" si="7"/>
        <v>-300000</v>
      </c>
      <c r="Q183" s="2518"/>
      <c r="R183" s="2518"/>
      <c r="S183" s="2518"/>
      <c r="T183" s="2518"/>
      <c r="U183" s="2518"/>
      <c r="V183" s="2487"/>
      <c r="W183" s="2530"/>
    </row>
    <row r="184" spans="1:23" s="2571" customFormat="1" ht="12" hidden="1" customHeight="1" outlineLevel="1">
      <c r="A184" s="2564"/>
      <c r="B184" s="2515" t="s">
        <v>152</v>
      </c>
      <c r="C184" s="2565" t="s">
        <v>2565</v>
      </c>
      <c r="D184" s="2566"/>
      <c r="E184" s="2566"/>
      <c r="F184" s="2567"/>
      <c r="G184" s="2566" t="s">
        <v>638</v>
      </c>
      <c r="H184" s="2566">
        <v>300000</v>
      </c>
      <c r="I184" s="2566">
        <v>300000</v>
      </c>
      <c r="J184" s="2566">
        <v>300000</v>
      </c>
      <c r="K184" s="2566">
        <v>300000</v>
      </c>
      <c r="L184" s="2566">
        <v>0</v>
      </c>
      <c r="M184" s="3126">
        <v>0</v>
      </c>
      <c r="N184" s="2518">
        <v>0</v>
      </c>
      <c r="O184" s="2518">
        <f>+[3]VO!$B$39</f>
        <v>0</v>
      </c>
      <c r="P184" s="2519">
        <f t="shared" si="7"/>
        <v>0</v>
      </c>
      <c r="Q184" s="2518"/>
      <c r="R184" s="2518"/>
      <c r="S184" s="2518"/>
      <c r="T184" s="2518"/>
      <c r="U184" s="2518"/>
      <c r="V184" s="2487"/>
      <c r="W184" s="2530"/>
    </row>
    <row r="185" spans="1:23" s="2571" customFormat="1" ht="12" customHeight="1" outlineLevel="1">
      <c r="A185" s="2564"/>
      <c r="B185" s="2559" t="s">
        <v>152</v>
      </c>
      <c r="C185" s="2572" t="s">
        <v>2566</v>
      </c>
      <c r="D185" s="2573"/>
      <c r="E185" s="2573"/>
      <c r="F185" s="2574"/>
      <c r="G185" s="2573" t="s">
        <v>638</v>
      </c>
      <c r="H185" s="2573">
        <v>605000</v>
      </c>
      <c r="I185" s="2573">
        <v>605000</v>
      </c>
      <c r="J185" s="2573">
        <v>605000</v>
      </c>
      <c r="K185" s="2573">
        <v>605000</v>
      </c>
      <c r="L185" s="2573">
        <v>605000</v>
      </c>
      <c r="M185" s="3127">
        <v>605000</v>
      </c>
      <c r="N185" s="2563">
        <v>605000</v>
      </c>
      <c r="O185" s="2563">
        <f>+[3]VO!$B$40</f>
        <v>51000</v>
      </c>
      <c r="P185" s="2638">
        <f t="shared" si="7"/>
        <v>-554000</v>
      </c>
      <c r="Q185" s="2563"/>
      <c r="R185" s="2563"/>
      <c r="S185" s="2563"/>
      <c r="T185" s="2563"/>
      <c r="U185" s="2563"/>
      <c r="V185" s="2487"/>
      <c r="W185" s="2530"/>
    </row>
    <row r="186" spans="1:23" s="2571" customFormat="1" ht="12" customHeight="1" outlineLevel="1" thickBot="1">
      <c r="A186" s="2624">
        <v>3631</v>
      </c>
      <c r="B186" s="2559" t="s">
        <v>152</v>
      </c>
      <c r="C186" s="2572" t="s">
        <v>2821</v>
      </c>
      <c r="D186" s="2573"/>
      <c r="E186" s="2573"/>
      <c r="F186" s="2574"/>
      <c r="G186" s="2573" t="s">
        <v>638</v>
      </c>
      <c r="H186" s="2573"/>
      <c r="I186" s="2573"/>
      <c r="J186" s="2573"/>
      <c r="K186" s="2573"/>
      <c r="L186" s="2573">
        <v>290400</v>
      </c>
      <c r="M186" s="3127">
        <v>290400</v>
      </c>
      <c r="N186" s="2563">
        <v>290400</v>
      </c>
      <c r="O186" s="2563">
        <f>+[3]VO!$B$41</f>
        <v>0</v>
      </c>
      <c r="P186" s="2638">
        <f t="shared" si="7"/>
        <v>-290400</v>
      </c>
      <c r="Q186" s="2563"/>
      <c r="R186" s="2563"/>
      <c r="S186" s="2563"/>
      <c r="T186" s="2563"/>
      <c r="U186" s="2563"/>
      <c r="V186" s="2487"/>
      <c r="W186" s="2530"/>
    </row>
    <row r="187" spans="1:23" ht="13.9" thickBot="1">
      <c r="A187" s="3276" t="s">
        <v>630</v>
      </c>
      <c r="B187" s="3277"/>
      <c r="C187" s="2523"/>
      <c r="D187" s="2524"/>
      <c r="E187" s="2524"/>
      <c r="F187" s="2525"/>
      <c r="G187" s="2524"/>
      <c r="H187" s="2524">
        <v>1256000</v>
      </c>
      <c r="I187" s="2524">
        <v>1256000</v>
      </c>
      <c r="J187" s="2524">
        <v>1256000</v>
      </c>
      <c r="K187" s="2524">
        <v>1256000</v>
      </c>
      <c r="L187" s="2524">
        <v>1246400</v>
      </c>
      <c r="M187" s="3123">
        <v>1246400</v>
      </c>
      <c r="N187" s="2526">
        <v>1246400</v>
      </c>
      <c r="O187" s="2526">
        <f>SUM(O183:O186)</f>
        <v>102000</v>
      </c>
      <c r="P187" s="2527">
        <f t="shared" si="7"/>
        <v>-1144400</v>
      </c>
      <c r="Q187" s="2528"/>
      <c r="R187" s="2528">
        <f>SUM(R183:R186)</f>
        <v>0</v>
      </c>
      <c r="S187" s="2528"/>
      <c r="T187" s="2528"/>
      <c r="U187" s="2528"/>
      <c r="V187" s="2529">
        <f>'Výdaje kapitol celkem'!CG72</f>
        <v>102000</v>
      </c>
      <c r="W187" s="2530">
        <f>+V187-O187</f>
        <v>0</v>
      </c>
    </row>
    <row r="188" spans="1:23" ht="12" hidden="1" customHeight="1" outlineLevel="1">
      <c r="A188" s="2564"/>
      <c r="B188" s="2559" t="s">
        <v>153</v>
      </c>
      <c r="C188" s="2664" t="s">
        <v>1593</v>
      </c>
      <c r="D188" s="2665"/>
      <c r="E188" s="2665"/>
      <c r="F188" s="2666"/>
      <c r="G188" s="2665" t="s">
        <v>638</v>
      </c>
      <c r="H188" s="2665">
        <v>0</v>
      </c>
      <c r="I188" s="2665">
        <v>0</v>
      </c>
      <c r="J188" s="2665">
        <v>0</v>
      </c>
      <c r="K188" s="2665">
        <v>0</v>
      </c>
      <c r="L188" s="2665">
        <v>0</v>
      </c>
      <c r="M188" s="3143">
        <v>0</v>
      </c>
      <c r="N188" s="2563">
        <v>0</v>
      </c>
      <c r="O188" s="2563">
        <f>+'[4]Silnice stavba'!$B$13</f>
        <v>0</v>
      </c>
      <c r="P188" s="2638">
        <f t="shared" si="7"/>
        <v>0</v>
      </c>
      <c r="Q188" s="2563"/>
      <c r="R188" s="2563"/>
      <c r="S188" s="2563"/>
      <c r="T188" s="2563"/>
      <c r="U188" s="2563"/>
      <c r="V188" s="2487"/>
      <c r="W188" s="2530"/>
    </row>
    <row r="189" spans="1:23" ht="12" hidden="1" customHeight="1" outlineLevel="1">
      <c r="A189" s="2564"/>
      <c r="B189" s="2559" t="s">
        <v>153</v>
      </c>
      <c r="C189" s="2664" t="s">
        <v>2822</v>
      </c>
      <c r="D189" s="2665"/>
      <c r="E189" s="2667"/>
      <c r="F189" s="2668"/>
      <c r="G189" s="2665" t="s">
        <v>638</v>
      </c>
      <c r="H189" s="2665">
        <v>0</v>
      </c>
      <c r="I189" s="2665">
        <v>0</v>
      </c>
      <c r="J189" s="2665">
        <v>0</v>
      </c>
      <c r="K189" s="2665">
        <v>0</v>
      </c>
      <c r="L189" s="2665">
        <v>0</v>
      </c>
      <c r="M189" s="3143">
        <v>0</v>
      </c>
      <c r="N189" s="2563">
        <v>0</v>
      </c>
      <c r="O189" s="2563">
        <f>+'[4]Silnice stavba'!$B$21</f>
        <v>0</v>
      </c>
      <c r="P189" s="2638">
        <f t="shared" si="7"/>
        <v>0</v>
      </c>
      <c r="Q189" s="2563"/>
      <c r="R189" s="2563">
        <v>0</v>
      </c>
      <c r="S189" s="2563"/>
      <c r="T189" s="2563"/>
      <c r="U189" s="2563"/>
      <c r="V189" s="2487"/>
      <c r="W189" s="2530"/>
    </row>
    <row r="190" spans="1:23" ht="12" hidden="1" customHeight="1" outlineLevel="1">
      <c r="A190" s="2564"/>
      <c r="B190" s="2559" t="s">
        <v>153</v>
      </c>
      <c r="C190" s="2664" t="s">
        <v>2823</v>
      </c>
      <c r="D190" s="2665"/>
      <c r="E190" s="2667"/>
      <c r="F190" s="2668"/>
      <c r="G190" s="2665" t="s">
        <v>638</v>
      </c>
      <c r="H190" s="2665">
        <v>0</v>
      </c>
      <c r="I190" s="2665">
        <v>0</v>
      </c>
      <c r="J190" s="2665">
        <v>0</v>
      </c>
      <c r="K190" s="2665">
        <v>0</v>
      </c>
      <c r="L190" s="2665">
        <v>0</v>
      </c>
      <c r="M190" s="3143">
        <v>0</v>
      </c>
      <c r="N190" s="2563">
        <v>0</v>
      </c>
      <c r="O190" s="2563">
        <f>+'[4]Silnice stavba'!$B$30</f>
        <v>0</v>
      </c>
      <c r="P190" s="2638">
        <f t="shared" si="7"/>
        <v>0</v>
      </c>
      <c r="Q190" s="2563"/>
      <c r="R190" s="2563"/>
      <c r="S190" s="2563"/>
      <c r="T190" s="2563"/>
      <c r="U190" s="2563"/>
      <c r="V190" s="2487"/>
      <c r="W190" s="2530"/>
    </row>
    <row r="191" spans="1:23" ht="12" customHeight="1" outlineLevel="1">
      <c r="A191" s="2564"/>
      <c r="B191" s="2559" t="s">
        <v>153</v>
      </c>
      <c r="C191" s="2664" t="s">
        <v>1594</v>
      </c>
      <c r="D191" s="2665"/>
      <c r="E191" s="2665"/>
      <c r="F191" s="2666"/>
      <c r="G191" s="2665" t="s">
        <v>638</v>
      </c>
      <c r="H191" s="2665">
        <v>80000</v>
      </c>
      <c r="I191" s="2665">
        <v>80000</v>
      </c>
      <c r="J191" s="2665">
        <v>80000</v>
      </c>
      <c r="K191" s="2665">
        <v>80000</v>
      </c>
      <c r="L191" s="2665">
        <v>80000</v>
      </c>
      <c r="M191" s="3143">
        <v>80000</v>
      </c>
      <c r="N191" s="2563">
        <v>80000</v>
      </c>
      <c r="O191" s="2563">
        <f>+'[4]Silnice stavba'!$B$33</f>
        <v>80000</v>
      </c>
      <c r="P191" s="2638">
        <f t="shared" si="7"/>
        <v>0</v>
      </c>
      <c r="Q191" s="2563"/>
      <c r="R191" s="2563"/>
      <c r="S191" s="2563"/>
      <c r="T191" s="2563"/>
      <c r="U191" s="2563"/>
      <c r="V191" s="2487"/>
      <c r="W191" s="2530"/>
    </row>
    <row r="192" spans="1:23" ht="12" hidden="1" customHeight="1" outlineLevel="1">
      <c r="A192" s="2564"/>
      <c r="B192" s="2559" t="s">
        <v>153</v>
      </c>
      <c r="C192" s="2664" t="s">
        <v>1595</v>
      </c>
      <c r="D192" s="2665"/>
      <c r="E192" s="2665"/>
      <c r="F192" s="2666"/>
      <c r="G192" s="2665" t="s">
        <v>638</v>
      </c>
      <c r="H192" s="2665">
        <v>0</v>
      </c>
      <c r="I192" s="2665">
        <v>0</v>
      </c>
      <c r="J192" s="2665">
        <v>0</v>
      </c>
      <c r="K192" s="2665">
        <v>0</v>
      </c>
      <c r="L192" s="2665">
        <v>0</v>
      </c>
      <c r="M192" s="3143">
        <v>0</v>
      </c>
      <c r="N192" s="2563">
        <v>0</v>
      </c>
      <c r="O192" s="2563">
        <f>+'[4]Silnice stavba'!$B$34</f>
        <v>0</v>
      </c>
      <c r="P192" s="2638">
        <f t="shared" si="7"/>
        <v>0</v>
      </c>
      <c r="Q192" s="2563"/>
      <c r="R192" s="2563"/>
      <c r="S192" s="2563"/>
      <c r="T192" s="2563"/>
      <c r="U192" s="2563"/>
      <c r="V192" s="2487"/>
      <c r="W192" s="2530"/>
    </row>
    <row r="193" spans="1:23" ht="12" hidden="1" customHeight="1" outlineLevel="1">
      <c r="A193" s="2564"/>
      <c r="B193" s="2559" t="s">
        <v>153</v>
      </c>
      <c r="C193" s="2664" t="s">
        <v>2165</v>
      </c>
      <c r="D193" s="2665"/>
      <c r="E193" s="2665"/>
      <c r="F193" s="2666"/>
      <c r="G193" s="2665" t="s">
        <v>638</v>
      </c>
      <c r="H193" s="2665">
        <v>0</v>
      </c>
      <c r="I193" s="2665">
        <v>0</v>
      </c>
      <c r="J193" s="2665">
        <v>0</v>
      </c>
      <c r="K193" s="2665">
        <v>0</v>
      </c>
      <c r="L193" s="2665">
        <v>0</v>
      </c>
      <c r="M193" s="3143">
        <v>0</v>
      </c>
      <c r="N193" s="2563">
        <v>0</v>
      </c>
      <c r="O193" s="2563">
        <f>+'[4]Silnice stavba'!$B$47</f>
        <v>0</v>
      </c>
      <c r="P193" s="2638">
        <f t="shared" si="7"/>
        <v>0</v>
      </c>
      <c r="Q193" s="2563"/>
      <c r="R193" s="2563"/>
      <c r="S193" s="2563"/>
      <c r="T193" s="2563"/>
      <c r="U193" s="2563"/>
      <c r="V193" s="2487"/>
      <c r="W193" s="2530"/>
    </row>
    <row r="194" spans="1:23" ht="12" hidden="1" customHeight="1" outlineLevel="1">
      <c r="A194" s="2564"/>
      <c r="B194" s="2559" t="s">
        <v>153</v>
      </c>
      <c r="C194" s="2664" t="s">
        <v>2166</v>
      </c>
      <c r="D194" s="2665"/>
      <c r="E194" s="2665"/>
      <c r="F194" s="2666"/>
      <c r="G194" s="2566" t="s">
        <v>638</v>
      </c>
      <c r="H194" s="2566">
        <v>0</v>
      </c>
      <c r="I194" s="2566">
        <v>0</v>
      </c>
      <c r="J194" s="2566">
        <v>0</v>
      </c>
      <c r="K194" s="2566">
        <v>0</v>
      </c>
      <c r="L194" s="2566">
        <v>0</v>
      </c>
      <c r="M194" s="3126">
        <v>0</v>
      </c>
      <c r="N194" s="2563">
        <v>0</v>
      </c>
      <c r="O194" s="2563">
        <f>+'[4]Silnice stavba'!$B$48</f>
        <v>0</v>
      </c>
      <c r="P194" s="2638">
        <f t="shared" si="7"/>
        <v>0</v>
      </c>
      <c r="Q194" s="2563"/>
      <c r="R194" s="2563"/>
      <c r="S194" s="2563"/>
      <c r="T194" s="2563"/>
      <c r="U194" s="2563"/>
      <c r="V194" s="2487"/>
      <c r="W194" s="2530"/>
    </row>
    <row r="195" spans="1:23" ht="12" hidden="1" customHeight="1" outlineLevel="1">
      <c r="A195" s="2564"/>
      <c r="B195" s="2559" t="s">
        <v>153</v>
      </c>
      <c r="C195" s="2664" t="s">
        <v>1596</v>
      </c>
      <c r="D195" s="2665"/>
      <c r="E195" s="2665"/>
      <c r="F195" s="2666"/>
      <c r="G195" s="2566" t="s">
        <v>638</v>
      </c>
      <c r="H195" s="2566">
        <v>0</v>
      </c>
      <c r="I195" s="2566">
        <v>0</v>
      </c>
      <c r="J195" s="2566">
        <v>0</v>
      </c>
      <c r="K195" s="2566">
        <v>0</v>
      </c>
      <c r="L195" s="2566">
        <v>0</v>
      </c>
      <c r="M195" s="3126">
        <v>0</v>
      </c>
      <c r="N195" s="2563">
        <v>0</v>
      </c>
      <c r="O195" s="2563">
        <f>+'[4]Silnice stavba'!$B$59</f>
        <v>0</v>
      </c>
      <c r="P195" s="2638">
        <f t="shared" si="7"/>
        <v>0</v>
      </c>
      <c r="Q195" s="2563"/>
      <c r="R195" s="2563"/>
      <c r="S195" s="2563"/>
      <c r="T195" s="2563"/>
      <c r="U195" s="2563"/>
      <c r="V195" s="2487"/>
      <c r="W195" s="2530"/>
    </row>
    <row r="196" spans="1:23" ht="12" customHeight="1" outlineLevel="1">
      <c r="A196" s="2564"/>
      <c r="B196" s="2559" t="s">
        <v>153</v>
      </c>
      <c r="C196" s="2664" t="s">
        <v>1597</v>
      </c>
      <c r="D196" s="2665"/>
      <c r="E196" s="2665"/>
      <c r="F196" s="2666"/>
      <c r="G196" s="2566" t="s">
        <v>638</v>
      </c>
      <c r="H196" s="2566">
        <v>2050000</v>
      </c>
      <c r="I196" s="2566">
        <v>2050000</v>
      </c>
      <c r="J196" s="2566">
        <v>2050000</v>
      </c>
      <c r="K196" s="2566">
        <v>2050000</v>
      </c>
      <c r="L196" s="2566">
        <v>2050000</v>
      </c>
      <c r="M196" s="3126">
        <v>2050000</v>
      </c>
      <c r="N196" s="2670">
        <v>50000</v>
      </c>
      <c r="O196" s="2670">
        <f>+'[4]Silnice stavba'!$B$60</f>
        <v>50000</v>
      </c>
      <c r="P196" s="2638">
        <f t="shared" si="7"/>
        <v>0</v>
      </c>
      <c r="Q196" s="2563"/>
      <c r="R196" s="2563"/>
      <c r="S196" s="2563"/>
      <c r="T196" s="2563"/>
      <c r="U196" s="2563"/>
      <c r="V196" s="2487"/>
      <c r="W196" s="2530"/>
    </row>
    <row r="197" spans="1:23" ht="12" hidden="1" customHeight="1" outlineLevel="1">
      <c r="A197" s="2564"/>
      <c r="B197" s="2559" t="s">
        <v>153</v>
      </c>
      <c r="C197" s="2664" t="s">
        <v>1598</v>
      </c>
      <c r="D197" s="2665"/>
      <c r="E197" s="2665"/>
      <c r="F197" s="2666"/>
      <c r="G197" s="2573" t="s">
        <v>638</v>
      </c>
      <c r="H197" s="2573">
        <v>0</v>
      </c>
      <c r="I197" s="2573">
        <v>0</v>
      </c>
      <c r="J197" s="2573">
        <v>0</v>
      </c>
      <c r="K197" s="2573">
        <v>0</v>
      </c>
      <c r="L197" s="2573">
        <v>0</v>
      </c>
      <c r="M197" s="3127">
        <v>0</v>
      </c>
      <c r="N197" s="2563">
        <v>0</v>
      </c>
      <c r="O197" s="2563">
        <f>+'[4]Silnice stavba'!$B$70</f>
        <v>0</v>
      </c>
      <c r="P197" s="2638">
        <f t="shared" si="7"/>
        <v>0</v>
      </c>
      <c r="Q197" s="2563"/>
      <c r="R197" s="2563"/>
      <c r="S197" s="2563"/>
      <c r="T197" s="2563"/>
      <c r="U197" s="2563"/>
      <c r="V197" s="2487"/>
      <c r="W197" s="2530"/>
    </row>
    <row r="198" spans="1:23" ht="12" hidden="1" customHeight="1" outlineLevel="1">
      <c r="A198" s="2564"/>
      <c r="B198" s="2559" t="s">
        <v>153</v>
      </c>
      <c r="C198" s="2664" t="s">
        <v>1599</v>
      </c>
      <c r="D198" s="2665"/>
      <c r="E198" s="2665"/>
      <c r="F198" s="2666"/>
      <c r="G198" s="2573" t="s">
        <v>638</v>
      </c>
      <c r="H198" s="2573">
        <v>0</v>
      </c>
      <c r="I198" s="2573">
        <v>0</v>
      </c>
      <c r="J198" s="2573">
        <v>0</v>
      </c>
      <c r="K198" s="2573">
        <v>0</v>
      </c>
      <c r="L198" s="2573">
        <v>0</v>
      </c>
      <c r="M198" s="3127">
        <v>0</v>
      </c>
      <c r="N198" s="2563">
        <v>0</v>
      </c>
      <c r="O198" s="2563">
        <f>+'[4]Silnice stavba'!$B$71</f>
        <v>0</v>
      </c>
      <c r="P198" s="2638">
        <f t="shared" si="7"/>
        <v>0</v>
      </c>
      <c r="Q198" s="2563"/>
      <c r="R198" s="2563"/>
      <c r="S198" s="2563"/>
      <c r="T198" s="2563"/>
      <c r="U198" s="2563"/>
      <c r="V198" s="2487"/>
      <c r="W198" s="2530"/>
    </row>
    <row r="199" spans="1:23" ht="12" hidden="1" customHeight="1" outlineLevel="1">
      <c r="A199" s="2564"/>
      <c r="B199" s="2559" t="s">
        <v>153</v>
      </c>
      <c r="C199" s="2664" t="s">
        <v>1600</v>
      </c>
      <c r="D199" s="2665"/>
      <c r="E199" s="2665"/>
      <c r="F199" s="2666"/>
      <c r="G199" s="2573" t="s">
        <v>638</v>
      </c>
      <c r="H199" s="2573">
        <v>0</v>
      </c>
      <c r="I199" s="2573">
        <v>0</v>
      </c>
      <c r="J199" s="2573">
        <v>0</v>
      </c>
      <c r="K199" s="2573">
        <v>0</v>
      </c>
      <c r="L199" s="2573">
        <v>0</v>
      </c>
      <c r="M199" s="3127">
        <v>0</v>
      </c>
      <c r="N199" s="2563">
        <v>0</v>
      </c>
      <c r="O199" s="2563">
        <f>+'[4]Silnice stavba'!$B$84</f>
        <v>0</v>
      </c>
      <c r="P199" s="2638">
        <f t="shared" si="7"/>
        <v>0</v>
      </c>
      <c r="Q199" s="2563"/>
      <c r="R199" s="2563"/>
      <c r="S199" s="2563"/>
      <c r="T199" s="2563"/>
      <c r="U199" s="2563"/>
      <c r="V199" s="2487"/>
      <c r="W199" s="2530"/>
    </row>
    <row r="200" spans="1:23" ht="12" hidden="1" customHeight="1" outlineLevel="1">
      <c r="A200" s="2564"/>
      <c r="B200" s="2559" t="s">
        <v>153</v>
      </c>
      <c r="C200" s="2664" t="s">
        <v>1601</v>
      </c>
      <c r="D200" s="2665"/>
      <c r="E200" s="2665"/>
      <c r="F200" s="2666"/>
      <c r="G200" s="2573" t="s">
        <v>638</v>
      </c>
      <c r="H200" s="2573">
        <v>0</v>
      </c>
      <c r="I200" s="2573">
        <v>0</v>
      </c>
      <c r="J200" s="2573">
        <v>0</v>
      </c>
      <c r="K200" s="2573">
        <v>0</v>
      </c>
      <c r="L200" s="2573">
        <v>0</v>
      </c>
      <c r="M200" s="3127">
        <v>0</v>
      </c>
      <c r="N200" s="2563">
        <v>0</v>
      </c>
      <c r="O200" s="2563">
        <f>+'[4]Silnice stavba'!$B$85</f>
        <v>0</v>
      </c>
      <c r="P200" s="2638">
        <f t="shared" ref="P200:P263" si="9">+O200-N200</f>
        <v>0</v>
      </c>
      <c r="Q200" s="2563"/>
      <c r="R200" s="2563"/>
      <c r="S200" s="2563"/>
      <c r="T200" s="2563"/>
      <c r="U200" s="2563"/>
      <c r="V200" s="2487"/>
      <c r="W200" s="2530"/>
    </row>
    <row r="201" spans="1:23" ht="12" hidden="1" customHeight="1" outlineLevel="1">
      <c r="A201" s="2564"/>
      <c r="B201" s="2559" t="s">
        <v>153</v>
      </c>
      <c r="C201" s="2664" t="s">
        <v>1602</v>
      </c>
      <c r="D201" s="2665"/>
      <c r="E201" s="2665"/>
      <c r="F201" s="2666"/>
      <c r="G201" s="2573" t="s">
        <v>638</v>
      </c>
      <c r="H201" s="2573">
        <v>1000000</v>
      </c>
      <c r="I201" s="2573">
        <v>1500000</v>
      </c>
      <c r="J201" s="2573">
        <v>1500000</v>
      </c>
      <c r="K201" s="2573">
        <v>1500000</v>
      </c>
      <c r="L201" s="2573">
        <v>1500000</v>
      </c>
      <c r="M201" s="3127">
        <v>1500000</v>
      </c>
      <c r="N201" s="2563">
        <v>0</v>
      </c>
      <c r="O201" s="2563">
        <f>+'[4]Silnice stavba'!$B$94</f>
        <v>0</v>
      </c>
      <c r="P201" s="2638">
        <f t="shared" si="9"/>
        <v>0</v>
      </c>
      <c r="Q201" s="2563"/>
      <c r="R201" s="2563"/>
      <c r="S201" s="2563"/>
      <c r="T201" s="2563"/>
      <c r="U201" s="2563"/>
      <c r="V201" s="2487"/>
      <c r="W201" s="2530"/>
    </row>
    <row r="202" spans="1:23" ht="12" hidden="1" customHeight="1" outlineLevel="1">
      <c r="A202" s="2564"/>
      <c r="B202" s="2559" t="s">
        <v>153</v>
      </c>
      <c r="C202" s="2664" t="s">
        <v>1603</v>
      </c>
      <c r="D202" s="2665"/>
      <c r="E202" s="2665"/>
      <c r="F202" s="2666"/>
      <c r="G202" s="2573" t="s">
        <v>638</v>
      </c>
      <c r="H202" s="2573">
        <v>0</v>
      </c>
      <c r="I202" s="2573">
        <v>0</v>
      </c>
      <c r="J202" s="2573">
        <v>0</v>
      </c>
      <c r="K202" s="2573">
        <v>0</v>
      </c>
      <c r="L202" s="2573">
        <v>0</v>
      </c>
      <c r="M202" s="3127">
        <v>0</v>
      </c>
      <c r="N202" s="2563">
        <v>0</v>
      </c>
      <c r="O202" s="2563">
        <f>+'[4]Silnice stavba'!$B$95</f>
        <v>0</v>
      </c>
      <c r="P202" s="2638">
        <f t="shared" si="9"/>
        <v>0</v>
      </c>
      <c r="Q202" s="2563"/>
      <c r="R202" s="2563"/>
      <c r="S202" s="2563"/>
      <c r="T202" s="2563"/>
      <c r="U202" s="2563"/>
      <c r="V202" s="2487"/>
      <c r="W202" s="2530"/>
    </row>
    <row r="203" spans="1:23" ht="12" hidden="1" customHeight="1" outlineLevel="1">
      <c r="A203" s="2564"/>
      <c r="B203" s="2559" t="s">
        <v>153</v>
      </c>
      <c r="C203" s="2664" t="s">
        <v>1604</v>
      </c>
      <c r="D203" s="2665"/>
      <c r="E203" s="2665"/>
      <c r="F203" s="2666"/>
      <c r="G203" s="2573" t="s">
        <v>638</v>
      </c>
      <c r="H203" s="2573">
        <v>0</v>
      </c>
      <c r="I203" s="2573">
        <v>0</v>
      </c>
      <c r="J203" s="2573">
        <v>0</v>
      </c>
      <c r="K203" s="2573">
        <v>0</v>
      </c>
      <c r="L203" s="2573">
        <v>0</v>
      </c>
      <c r="M203" s="3127">
        <v>0</v>
      </c>
      <c r="N203" s="2563">
        <v>0</v>
      </c>
      <c r="O203" s="2563">
        <f>+'[4]Silnice stavba'!$B$104</f>
        <v>0</v>
      </c>
      <c r="P203" s="2638">
        <f t="shared" si="9"/>
        <v>0</v>
      </c>
      <c r="Q203" s="2563"/>
      <c r="R203" s="2563"/>
      <c r="S203" s="2563"/>
      <c r="T203" s="2563"/>
      <c r="U203" s="2563"/>
      <c r="V203" s="2487"/>
      <c r="W203" s="2530"/>
    </row>
    <row r="204" spans="1:23" ht="12" customHeight="1" outlineLevel="1">
      <c r="A204" s="2564"/>
      <c r="B204" s="2559" t="s">
        <v>153</v>
      </c>
      <c r="C204" s="2664" t="s">
        <v>1605</v>
      </c>
      <c r="D204" s="2665"/>
      <c r="E204" s="2665"/>
      <c r="F204" s="2666"/>
      <c r="G204" s="2573" t="s">
        <v>638</v>
      </c>
      <c r="H204" s="2573">
        <v>100000</v>
      </c>
      <c r="I204" s="2573">
        <v>100000</v>
      </c>
      <c r="J204" s="2573">
        <v>100000</v>
      </c>
      <c r="K204" s="2573">
        <v>100000</v>
      </c>
      <c r="L204" s="2573">
        <v>100000</v>
      </c>
      <c r="M204" s="3127">
        <v>100000</v>
      </c>
      <c r="N204" s="2563">
        <v>100000</v>
      </c>
      <c r="O204" s="2563">
        <f>+'[4]Silnice stavba'!$B$105</f>
        <v>0</v>
      </c>
      <c r="P204" s="2638">
        <f t="shared" si="9"/>
        <v>-100000</v>
      </c>
      <c r="Q204" s="2563"/>
      <c r="R204" s="2563"/>
      <c r="S204" s="2563"/>
      <c r="T204" s="2563"/>
      <c r="U204" s="2563"/>
      <c r="V204" s="2487"/>
      <c r="W204" s="2530"/>
    </row>
    <row r="205" spans="1:23" s="2571" customFormat="1" ht="12" customHeight="1" outlineLevel="1">
      <c r="A205" s="2564"/>
      <c r="B205" s="2618" t="s">
        <v>153</v>
      </c>
      <c r="C205" s="2648" t="s">
        <v>1606</v>
      </c>
      <c r="D205" s="2649"/>
      <c r="E205" s="2649"/>
      <c r="F205" s="2650"/>
      <c r="G205" s="2649" t="s">
        <v>1910</v>
      </c>
      <c r="H205" s="2649">
        <v>0</v>
      </c>
      <c r="I205" s="2649">
        <v>0</v>
      </c>
      <c r="J205" s="2649">
        <v>0</v>
      </c>
      <c r="K205" s="2649">
        <v>0</v>
      </c>
      <c r="L205" s="2649">
        <v>0</v>
      </c>
      <c r="M205" s="3140">
        <v>0</v>
      </c>
      <c r="N205" s="2651">
        <v>0</v>
      </c>
      <c r="O205" s="2651">
        <f>+'[4]Silnice stavba'!$C$117</f>
        <v>0</v>
      </c>
      <c r="P205" s="2652">
        <f t="shared" si="9"/>
        <v>0</v>
      </c>
      <c r="Q205" s="2653"/>
      <c r="R205" s="2654"/>
      <c r="S205" s="2655"/>
      <c r="T205" s="2655"/>
      <c r="U205" s="2651"/>
      <c r="V205" s="2487"/>
      <c r="W205" s="2530"/>
    </row>
    <row r="206" spans="1:23" ht="12" customHeight="1" outlineLevel="1">
      <c r="A206" s="2564"/>
      <c r="B206" s="2559" t="s">
        <v>153</v>
      </c>
      <c r="C206" s="2664" t="s">
        <v>1606</v>
      </c>
      <c r="D206" s="2665"/>
      <c r="E206" s="2665"/>
      <c r="F206" s="2666"/>
      <c r="G206" s="2573" t="s">
        <v>638</v>
      </c>
      <c r="H206" s="2573">
        <v>0</v>
      </c>
      <c r="I206" s="2573">
        <v>3700000</v>
      </c>
      <c r="J206" s="2573">
        <v>3700000</v>
      </c>
      <c r="K206" s="2573">
        <v>3700000</v>
      </c>
      <c r="L206" s="2573">
        <v>3700000</v>
      </c>
      <c r="M206" s="3127">
        <v>3700000</v>
      </c>
      <c r="N206" s="2670">
        <v>0</v>
      </c>
      <c r="O206" s="2670">
        <f>+'[4]Silnice stavba'!$D$117</f>
        <v>0</v>
      </c>
      <c r="P206" s="2638">
        <f t="shared" si="9"/>
        <v>0</v>
      </c>
      <c r="Q206" s="2563"/>
      <c r="R206" s="2563"/>
      <c r="S206" s="2563"/>
      <c r="T206" s="2563"/>
      <c r="U206" s="2563"/>
      <c r="V206" s="2487"/>
      <c r="W206" s="2530"/>
    </row>
    <row r="207" spans="1:23" ht="12" customHeight="1" outlineLevel="1">
      <c r="A207" s="2564"/>
      <c r="B207" s="2559" t="s">
        <v>153</v>
      </c>
      <c r="C207" s="2664" t="s">
        <v>1607</v>
      </c>
      <c r="D207" s="2665"/>
      <c r="E207" s="2665"/>
      <c r="F207" s="2666"/>
      <c r="G207" s="2573" t="s">
        <v>638</v>
      </c>
      <c r="H207" s="2573">
        <v>100000</v>
      </c>
      <c r="I207" s="2573">
        <v>100000</v>
      </c>
      <c r="J207" s="2573">
        <v>100000</v>
      </c>
      <c r="K207" s="2573">
        <v>100000</v>
      </c>
      <c r="L207" s="2573">
        <v>100000</v>
      </c>
      <c r="M207" s="3127">
        <v>100000</v>
      </c>
      <c r="N207" s="2563">
        <v>100000</v>
      </c>
      <c r="O207" s="2563">
        <f>+'[4]Silnice stavba'!$B$118</f>
        <v>0</v>
      </c>
      <c r="P207" s="2638">
        <f t="shared" si="9"/>
        <v>-100000</v>
      </c>
      <c r="Q207" s="2563"/>
      <c r="R207" s="2563"/>
      <c r="S207" s="2563"/>
      <c r="T207" s="2563"/>
      <c r="U207" s="2563"/>
      <c r="V207" s="2487"/>
      <c r="W207" s="2530"/>
    </row>
    <row r="208" spans="1:23" ht="12" hidden="1" customHeight="1" outlineLevel="1">
      <c r="A208" s="2564"/>
      <c r="B208" s="2559" t="s">
        <v>153</v>
      </c>
      <c r="C208" s="2664" t="s">
        <v>1608</v>
      </c>
      <c r="D208" s="2665"/>
      <c r="E208" s="2665"/>
      <c r="F208" s="2666"/>
      <c r="G208" s="2573" t="s">
        <v>638</v>
      </c>
      <c r="H208" s="2573">
        <v>0</v>
      </c>
      <c r="I208" s="2573">
        <v>0</v>
      </c>
      <c r="J208" s="2573">
        <v>0</v>
      </c>
      <c r="K208" s="2573">
        <v>0</v>
      </c>
      <c r="L208" s="2573">
        <v>0</v>
      </c>
      <c r="M208" s="3127">
        <v>0</v>
      </c>
      <c r="N208" s="2563">
        <v>0</v>
      </c>
      <c r="O208" s="2563">
        <f>+'[4]Silnice stavba'!$B$130</f>
        <v>0</v>
      </c>
      <c r="P208" s="2638">
        <f t="shared" si="9"/>
        <v>0</v>
      </c>
      <c r="Q208" s="2563"/>
      <c r="R208" s="2563"/>
      <c r="S208" s="2563"/>
      <c r="T208" s="2563"/>
      <c r="U208" s="2563"/>
      <c r="V208" s="2487"/>
      <c r="W208" s="2530"/>
    </row>
    <row r="209" spans="1:23" ht="12" customHeight="1" outlineLevel="1">
      <c r="A209" s="2564"/>
      <c r="B209" s="2559" t="s">
        <v>153</v>
      </c>
      <c r="C209" s="2664" t="s">
        <v>1609</v>
      </c>
      <c r="D209" s="2665"/>
      <c r="E209" s="2665"/>
      <c r="F209" s="2666"/>
      <c r="G209" s="2573" t="s">
        <v>638</v>
      </c>
      <c r="H209" s="2573">
        <v>50000</v>
      </c>
      <c r="I209" s="2573">
        <v>50000</v>
      </c>
      <c r="J209" s="2573">
        <v>50000</v>
      </c>
      <c r="K209" s="2573">
        <v>50000</v>
      </c>
      <c r="L209" s="2573">
        <v>50000</v>
      </c>
      <c r="M209" s="3127">
        <v>50000</v>
      </c>
      <c r="N209" s="2563">
        <v>50000</v>
      </c>
      <c r="O209" s="2563">
        <f>+'[4]Silnice stavba'!$B$131</f>
        <v>50000</v>
      </c>
      <c r="P209" s="2638">
        <f t="shared" si="9"/>
        <v>0</v>
      </c>
      <c r="Q209" s="2563"/>
      <c r="R209" s="2563"/>
      <c r="S209" s="2563"/>
      <c r="T209" s="2563"/>
      <c r="U209" s="2563"/>
      <c r="V209" s="2487"/>
      <c r="W209" s="2530"/>
    </row>
    <row r="210" spans="1:23" s="2571" customFormat="1" ht="12" customHeight="1" outlineLevel="1">
      <c r="A210" s="2564"/>
      <c r="B210" s="2618" t="s">
        <v>153</v>
      </c>
      <c r="C210" s="2648" t="s">
        <v>1610</v>
      </c>
      <c r="D210" s="2649"/>
      <c r="E210" s="2649"/>
      <c r="F210" s="2650"/>
      <c r="G210" s="2649" t="s">
        <v>1910</v>
      </c>
      <c r="H210" s="2649">
        <v>0</v>
      </c>
      <c r="I210" s="2649">
        <v>0</v>
      </c>
      <c r="J210" s="2649">
        <v>0</v>
      </c>
      <c r="K210" s="2649">
        <v>0</v>
      </c>
      <c r="L210" s="2649">
        <v>0</v>
      </c>
      <c r="M210" s="3140">
        <v>0</v>
      </c>
      <c r="N210" s="2651">
        <v>0</v>
      </c>
      <c r="O210" s="2651">
        <f>+'[4]Silnice stavba'!$C$143</f>
        <v>0</v>
      </c>
      <c r="P210" s="2652">
        <f t="shared" si="9"/>
        <v>0</v>
      </c>
      <c r="Q210" s="2653"/>
      <c r="R210" s="2654"/>
      <c r="S210" s="2655"/>
      <c r="T210" s="2655"/>
      <c r="U210" s="2651"/>
      <c r="V210" s="2487"/>
      <c r="W210" s="2530"/>
    </row>
    <row r="211" spans="1:23" ht="12" customHeight="1" outlineLevel="1">
      <c r="A211" s="2564"/>
      <c r="B211" s="2559" t="s">
        <v>153</v>
      </c>
      <c r="C211" s="2664" t="s">
        <v>1610</v>
      </c>
      <c r="D211" s="2665"/>
      <c r="E211" s="2665"/>
      <c r="F211" s="2666"/>
      <c r="G211" s="2573" t="s">
        <v>638</v>
      </c>
      <c r="H211" s="2573">
        <v>1300000</v>
      </c>
      <c r="I211" s="2573">
        <v>1300000</v>
      </c>
      <c r="J211" s="2573">
        <v>1300000</v>
      </c>
      <c r="K211" s="2573">
        <v>1300000</v>
      </c>
      <c r="L211" s="2573">
        <v>1300000</v>
      </c>
      <c r="M211" s="3127">
        <v>1300000</v>
      </c>
      <c r="N211" s="2670">
        <v>0</v>
      </c>
      <c r="O211" s="2670">
        <f>+'[4]Silnice stavba'!$D$143</f>
        <v>0</v>
      </c>
      <c r="P211" s="2638">
        <f t="shared" si="9"/>
        <v>0</v>
      </c>
      <c r="Q211" s="2563"/>
      <c r="R211" s="2563"/>
      <c r="S211" s="2563"/>
      <c r="T211" s="2563"/>
      <c r="U211" s="2563"/>
      <c r="V211" s="2487"/>
      <c r="W211" s="2530"/>
    </row>
    <row r="212" spans="1:23" ht="12" customHeight="1" outlineLevel="1">
      <c r="A212" s="2564"/>
      <c r="B212" s="2559" t="s">
        <v>153</v>
      </c>
      <c r="C212" s="2664" t="s">
        <v>1611</v>
      </c>
      <c r="D212" s="2665"/>
      <c r="E212" s="2665"/>
      <c r="F212" s="2666"/>
      <c r="G212" s="2573" t="s">
        <v>638</v>
      </c>
      <c r="H212" s="2573">
        <v>150000</v>
      </c>
      <c r="I212" s="2573">
        <v>150000</v>
      </c>
      <c r="J212" s="2573">
        <v>150000</v>
      </c>
      <c r="K212" s="2573">
        <v>150000</v>
      </c>
      <c r="L212" s="2573">
        <v>150000</v>
      </c>
      <c r="M212" s="3127">
        <v>150000</v>
      </c>
      <c r="N212" s="2563">
        <v>150000</v>
      </c>
      <c r="O212" s="2563">
        <f>+'[4]Silnice stavba'!$B$144</f>
        <v>150000</v>
      </c>
      <c r="P212" s="2638">
        <f t="shared" si="9"/>
        <v>0</v>
      </c>
      <c r="Q212" s="2563"/>
      <c r="R212" s="2563"/>
      <c r="S212" s="2563"/>
      <c r="T212" s="2563"/>
      <c r="U212" s="2563"/>
      <c r="V212" s="2487"/>
      <c r="W212" s="2530"/>
    </row>
    <row r="213" spans="1:23" ht="12" customHeight="1" outlineLevel="1">
      <c r="A213" s="2564"/>
      <c r="B213" s="2559" t="s">
        <v>153</v>
      </c>
      <c r="C213" s="2664" t="s">
        <v>1612</v>
      </c>
      <c r="D213" s="2665"/>
      <c r="E213" s="2665"/>
      <c r="F213" s="2666"/>
      <c r="G213" s="2573" t="s">
        <v>638</v>
      </c>
      <c r="H213" s="2573">
        <v>20000</v>
      </c>
      <c r="I213" s="2573">
        <v>20000</v>
      </c>
      <c r="J213" s="2573">
        <v>20000</v>
      </c>
      <c r="K213" s="2573">
        <v>20000</v>
      </c>
      <c r="L213" s="2573">
        <v>20000</v>
      </c>
      <c r="M213" s="3127">
        <v>20000</v>
      </c>
      <c r="N213" s="2563">
        <v>20000</v>
      </c>
      <c r="O213" s="2563">
        <f>+'[4]Silnice stavba'!$B$156</f>
        <v>20000</v>
      </c>
      <c r="P213" s="2638">
        <f t="shared" si="9"/>
        <v>0</v>
      </c>
      <c r="Q213" s="2563"/>
      <c r="R213" s="2563"/>
      <c r="S213" s="2563"/>
      <c r="T213" s="2563"/>
      <c r="U213" s="2563"/>
      <c r="V213" s="2487"/>
      <c r="W213" s="2530"/>
    </row>
    <row r="214" spans="1:23" ht="12" hidden="1" customHeight="1" outlineLevel="1">
      <c r="A214" s="2564"/>
      <c r="B214" s="2559" t="s">
        <v>153</v>
      </c>
      <c r="C214" s="2664" t="s">
        <v>1613</v>
      </c>
      <c r="D214" s="2665"/>
      <c r="E214" s="2665"/>
      <c r="F214" s="2666"/>
      <c r="G214" s="2573" t="s">
        <v>638</v>
      </c>
      <c r="H214" s="2573">
        <v>0</v>
      </c>
      <c r="I214" s="2573">
        <v>0</v>
      </c>
      <c r="J214" s="2573">
        <v>0</v>
      </c>
      <c r="K214" s="2573">
        <v>0</v>
      </c>
      <c r="L214" s="2573">
        <v>0</v>
      </c>
      <c r="M214" s="3127">
        <v>0</v>
      </c>
      <c r="N214" s="2563">
        <v>0</v>
      </c>
      <c r="O214" s="2563">
        <f>+'[4]Silnice stavba'!$B$157</f>
        <v>0</v>
      </c>
      <c r="P214" s="2638">
        <f t="shared" si="9"/>
        <v>0</v>
      </c>
      <c r="Q214" s="2563"/>
      <c r="R214" s="2563"/>
      <c r="S214" s="2563"/>
      <c r="T214" s="2563"/>
      <c r="U214" s="2563"/>
      <c r="V214" s="2487"/>
      <c r="W214" s="2530"/>
    </row>
    <row r="215" spans="1:23" ht="12" hidden="1" customHeight="1" outlineLevel="1">
      <c r="A215" s="2564"/>
      <c r="B215" s="2559" t="s">
        <v>153</v>
      </c>
      <c r="C215" s="2664" t="s">
        <v>2824</v>
      </c>
      <c r="D215" s="2665"/>
      <c r="E215" s="2665"/>
      <c r="F215" s="2666"/>
      <c r="G215" s="2573" t="s">
        <v>638</v>
      </c>
      <c r="H215" s="2573">
        <v>0</v>
      </c>
      <c r="I215" s="2573">
        <v>0</v>
      </c>
      <c r="J215" s="2573">
        <v>0</v>
      </c>
      <c r="K215" s="2573">
        <v>0</v>
      </c>
      <c r="L215" s="2573">
        <v>0</v>
      </c>
      <c r="M215" s="3127">
        <v>0</v>
      </c>
      <c r="N215" s="2563">
        <v>0</v>
      </c>
      <c r="O215" s="2563">
        <f>+'[4]Silnice stavba'!$B$171</f>
        <v>0</v>
      </c>
      <c r="P215" s="2638">
        <f t="shared" si="9"/>
        <v>0</v>
      </c>
      <c r="Q215" s="2563"/>
      <c r="R215" s="2563"/>
      <c r="S215" s="2563"/>
      <c r="T215" s="2563"/>
      <c r="U215" s="2563" t="s">
        <v>2081</v>
      </c>
      <c r="V215" s="2487" t="s">
        <v>2558</v>
      </c>
      <c r="W215" s="2530"/>
    </row>
    <row r="216" spans="1:23" ht="12" customHeight="1" outlineLevel="1">
      <c r="A216" s="2564"/>
      <c r="B216" s="2559" t="s">
        <v>153</v>
      </c>
      <c r="C216" s="2664" t="s">
        <v>1614</v>
      </c>
      <c r="D216" s="2665"/>
      <c r="E216" s="2665"/>
      <c r="F216" s="2666"/>
      <c r="G216" s="2573" t="s">
        <v>638</v>
      </c>
      <c r="H216" s="2573">
        <v>500000</v>
      </c>
      <c r="I216" s="2573">
        <v>500000</v>
      </c>
      <c r="J216" s="2573">
        <v>500000</v>
      </c>
      <c r="K216" s="2573">
        <v>500000</v>
      </c>
      <c r="L216" s="2573">
        <v>500000</v>
      </c>
      <c r="M216" s="3127">
        <v>500000</v>
      </c>
      <c r="N216" s="2563">
        <v>500000</v>
      </c>
      <c r="O216" s="2563">
        <f>+'[4]Silnice stavba'!$B$172</f>
        <v>0</v>
      </c>
      <c r="P216" s="2638">
        <f t="shared" si="9"/>
        <v>-500000</v>
      </c>
      <c r="Q216" s="2563"/>
      <c r="R216" s="2563"/>
      <c r="S216" s="2563"/>
      <c r="T216" s="2563"/>
      <c r="U216" s="2563"/>
      <c r="V216" s="2487"/>
      <c r="W216" s="2530"/>
    </row>
    <row r="217" spans="1:23" ht="12" hidden="1" customHeight="1" outlineLevel="1">
      <c r="A217" s="2564"/>
      <c r="B217" s="2559" t="s">
        <v>153</v>
      </c>
      <c r="C217" s="2664" t="s">
        <v>1615</v>
      </c>
      <c r="D217" s="2665"/>
      <c r="E217" s="2665"/>
      <c r="F217" s="2666"/>
      <c r="G217" s="2573" t="s">
        <v>638</v>
      </c>
      <c r="H217" s="2573">
        <v>0</v>
      </c>
      <c r="I217" s="2573">
        <v>0</v>
      </c>
      <c r="J217" s="2573">
        <v>0</v>
      </c>
      <c r="K217" s="2573">
        <v>0</v>
      </c>
      <c r="L217" s="2573">
        <v>0</v>
      </c>
      <c r="M217" s="3127">
        <v>0</v>
      </c>
      <c r="N217" s="2563">
        <v>0</v>
      </c>
      <c r="O217" s="2563">
        <f>+'[4]Silnice stavba'!$B$185</f>
        <v>0</v>
      </c>
      <c r="P217" s="2638">
        <f t="shared" si="9"/>
        <v>0</v>
      </c>
      <c r="Q217" s="2563"/>
      <c r="R217" s="2563"/>
      <c r="S217" s="2563"/>
      <c r="T217" s="2563"/>
      <c r="U217" s="2563"/>
      <c r="V217" s="2487"/>
      <c r="W217" s="2530"/>
    </row>
    <row r="218" spans="1:23" ht="12" hidden="1" customHeight="1" outlineLevel="1">
      <c r="A218" s="2564"/>
      <c r="B218" s="2559" t="s">
        <v>153</v>
      </c>
      <c r="C218" s="2664" t="s">
        <v>1616</v>
      </c>
      <c r="D218" s="2665"/>
      <c r="E218" s="2665"/>
      <c r="F218" s="2666"/>
      <c r="G218" s="2573" t="s">
        <v>638</v>
      </c>
      <c r="H218" s="2573">
        <v>0</v>
      </c>
      <c r="I218" s="2573">
        <v>0</v>
      </c>
      <c r="J218" s="2573">
        <v>0</v>
      </c>
      <c r="K218" s="2573">
        <v>0</v>
      </c>
      <c r="L218" s="2573">
        <v>0</v>
      </c>
      <c r="M218" s="3127">
        <v>0</v>
      </c>
      <c r="N218" s="2563">
        <v>0</v>
      </c>
      <c r="O218" s="2563">
        <f>+'[4]Silnice stavba'!$B$186</f>
        <v>0</v>
      </c>
      <c r="P218" s="2638">
        <f t="shared" si="9"/>
        <v>0</v>
      </c>
      <c r="Q218" s="2563"/>
      <c r="R218" s="2563"/>
      <c r="S218" s="2563"/>
      <c r="T218" s="2563"/>
      <c r="U218" s="2563"/>
      <c r="V218" s="2487"/>
      <c r="W218" s="2530"/>
    </row>
    <row r="219" spans="1:23" ht="13.5" hidden="1" customHeight="1" outlineLevel="1">
      <c r="A219" s="2564"/>
      <c r="B219" s="2559" t="s">
        <v>153</v>
      </c>
      <c r="C219" s="2664" t="s">
        <v>1617</v>
      </c>
      <c r="D219" s="2665"/>
      <c r="E219" s="2665"/>
      <c r="F219" s="2666"/>
      <c r="G219" s="2573" t="s">
        <v>638</v>
      </c>
      <c r="H219" s="2573">
        <v>0</v>
      </c>
      <c r="I219" s="2573">
        <v>0</v>
      </c>
      <c r="J219" s="2573">
        <v>0</v>
      </c>
      <c r="K219" s="2573">
        <v>0</v>
      </c>
      <c r="L219" s="2573">
        <v>0</v>
      </c>
      <c r="M219" s="3127">
        <v>0</v>
      </c>
      <c r="N219" s="2563">
        <v>0</v>
      </c>
      <c r="O219" s="2563">
        <f>+'[4]Silnice stavba'!$B$195</f>
        <v>0</v>
      </c>
      <c r="P219" s="2638">
        <f t="shared" si="9"/>
        <v>0</v>
      </c>
      <c r="Q219" s="2563"/>
      <c r="R219" s="2563"/>
      <c r="S219" s="2563"/>
      <c r="T219" s="2563"/>
      <c r="U219" s="2563"/>
      <c r="V219" s="2487"/>
      <c r="W219" s="2530"/>
    </row>
    <row r="220" spans="1:23" ht="12" hidden="1" customHeight="1" outlineLevel="1">
      <c r="A220" s="2564"/>
      <c r="B220" s="2559" t="s">
        <v>153</v>
      </c>
      <c r="C220" s="2664" t="s">
        <v>1618</v>
      </c>
      <c r="D220" s="2665"/>
      <c r="E220" s="2665"/>
      <c r="F220" s="2666"/>
      <c r="G220" s="2573" t="s">
        <v>638</v>
      </c>
      <c r="H220" s="2573">
        <v>0</v>
      </c>
      <c r="I220" s="2573">
        <v>0</v>
      </c>
      <c r="J220" s="2573">
        <v>0</v>
      </c>
      <c r="K220" s="2573">
        <v>0</v>
      </c>
      <c r="L220" s="2573">
        <v>0</v>
      </c>
      <c r="M220" s="3127">
        <v>0</v>
      </c>
      <c r="N220" s="2563">
        <v>0</v>
      </c>
      <c r="O220" s="2563">
        <f>+'[4]Silnice stavba'!$B$196</f>
        <v>0</v>
      </c>
      <c r="P220" s="2638">
        <f t="shared" si="9"/>
        <v>0</v>
      </c>
      <c r="Q220" s="2563"/>
      <c r="R220" s="2563"/>
      <c r="S220" s="2563"/>
      <c r="T220" s="2563"/>
      <c r="U220" s="2563"/>
      <c r="V220" s="2487"/>
      <c r="W220" s="2530"/>
    </row>
    <row r="221" spans="1:23" ht="12" hidden="1" customHeight="1" outlineLevel="1">
      <c r="A221" s="2564"/>
      <c r="B221" s="2559" t="s">
        <v>153</v>
      </c>
      <c r="C221" s="2664" t="s">
        <v>1619</v>
      </c>
      <c r="D221" s="2665"/>
      <c r="E221" s="2665"/>
      <c r="F221" s="2666"/>
      <c r="G221" s="2573" t="s">
        <v>638</v>
      </c>
      <c r="H221" s="2573">
        <v>0</v>
      </c>
      <c r="I221" s="2573">
        <v>0</v>
      </c>
      <c r="J221" s="2573">
        <v>0</v>
      </c>
      <c r="K221" s="2573">
        <v>0</v>
      </c>
      <c r="L221" s="2573">
        <v>0</v>
      </c>
      <c r="M221" s="3127">
        <v>0</v>
      </c>
      <c r="N221" s="2563">
        <v>0</v>
      </c>
      <c r="O221" s="2563">
        <f>+'[4]Silnice stavba'!$B$205</f>
        <v>0</v>
      </c>
      <c r="P221" s="2638">
        <f t="shared" si="9"/>
        <v>0</v>
      </c>
      <c r="Q221" s="2563"/>
      <c r="R221" s="2563"/>
      <c r="S221" s="2563"/>
      <c r="T221" s="2563"/>
      <c r="U221" s="2563"/>
      <c r="V221" s="2487"/>
      <c r="W221" s="2530"/>
    </row>
    <row r="222" spans="1:23" ht="12" hidden="1" customHeight="1" outlineLevel="1">
      <c r="A222" s="2564"/>
      <c r="B222" s="2559" t="s">
        <v>153</v>
      </c>
      <c r="C222" s="2664" t="s">
        <v>1620</v>
      </c>
      <c r="D222" s="2665"/>
      <c r="E222" s="2665"/>
      <c r="F222" s="2666"/>
      <c r="G222" s="2573" t="s">
        <v>638</v>
      </c>
      <c r="H222" s="2573">
        <v>0</v>
      </c>
      <c r="I222" s="2573">
        <v>0</v>
      </c>
      <c r="J222" s="2573">
        <v>0</v>
      </c>
      <c r="K222" s="2573">
        <v>0</v>
      </c>
      <c r="L222" s="2573">
        <v>0</v>
      </c>
      <c r="M222" s="3127">
        <v>0</v>
      </c>
      <c r="N222" s="2563">
        <v>0</v>
      </c>
      <c r="O222" s="2563">
        <f>+'[4]Silnice stavba'!$B$206</f>
        <v>0</v>
      </c>
      <c r="P222" s="2638">
        <f t="shared" si="9"/>
        <v>0</v>
      </c>
      <c r="Q222" s="2563"/>
      <c r="R222" s="2563"/>
      <c r="S222" s="2563"/>
      <c r="T222" s="2563"/>
      <c r="U222" s="2563"/>
      <c r="V222" s="2487"/>
      <c r="W222" s="2530"/>
    </row>
    <row r="223" spans="1:23" ht="12" hidden="1" customHeight="1" outlineLevel="1">
      <c r="A223" s="2564"/>
      <c r="B223" s="2559" t="s">
        <v>153</v>
      </c>
      <c r="C223" s="2664" t="s">
        <v>1621</v>
      </c>
      <c r="D223" s="2665"/>
      <c r="E223" s="2665"/>
      <c r="F223" s="2666"/>
      <c r="G223" s="2573" t="s">
        <v>638</v>
      </c>
      <c r="H223" s="2573">
        <v>0</v>
      </c>
      <c r="I223" s="2573">
        <v>0</v>
      </c>
      <c r="J223" s="2573">
        <v>0</v>
      </c>
      <c r="K223" s="2573">
        <v>0</v>
      </c>
      <c r="L223" s="2573">
        <v>0</v>
      </c>
      <c r="M223" s="3127">
        <v>0</v>
      </c>
      <c r="N223" s="2563">
        <v>0</v>
      </c>
      <c r="O223" s="2563">
        <f>+'[4]Silnice stavba'!$B$215</f>
        <v>0</v>
      </c>
      <c r="P223" s="2638">
        <f t="shared" si="9"/>
        <v>0</v>
      </c>
      <c r="Q223" s="2563"/>
      <c r="R223" s="2563"/>
      <c r="S223" s="2563"/>
      <c r="T223" s="2563"/>
      <c r="U223" s="2563"/>
      <c r="V223" s="2487"/>
      <c r="W223" s="2530"/>
    </row>
    <row r="224" spans="1:23" ht="12" hidden="1" customHeight="1" outlineLevel="1">
      <c r="A224" s="2564"/>
      <c r="B224" s="2559" t="s">
        <v>153</v>
      </c>
      <c r="C224" s="2664" t="s">
        <v>1622</v>
      </c>
      <c r="D224" s="2665"/>
      <c r="E224" s="2665"/>
      <c r="F224" s="2666"/>
      <c r="G224" s="2573" t="s">
        <v>638</v>
      </c>
      <c r="H224" s="2573">
        <v>0</v>
      </c>
      <c r="I224" s="2573">
        <v>0</v>
      </c>
      <c r="J224" s="2573">
        <v>0</v>
      </c>
      <c r="K224" s="2573">
        <v>0</v>
      </c>
      <c r="L224" s="2573">
        <v>0</v>
      </c>
      <c r="M224" s="3127">
        <v>0</v>
      </c>
      <c r="N224" s="2563">
        <v>0</v>
      </c>
      <c r="O224" s="2563">
        <f>+'[4]Silnice stavba'!$B$216</f>
        <v>0</v>
      </c>
      <c r="P224" s="2638">
        <f t="shared" si="9"/>
        <v>0</v>
      </c>
      <c r="Q224" s="2563"/>
      <c r="R224" s="2563"/>
      <c r="S224" s="2563"/>
      <c r="T224" s="2563"/>
      <c r="U224" s="2563"/>
      <c r="V224" s="2487"/>
      <c r="W224" s="2530"/>
    </row>
    <row r="225" spans="1:23" ht="12" hidden="1" customHeight="1" outlineLevel="1">
      <c r="A225" s="2564"/>
      <c r="B225" s="2559" t="s">
        <v>153</v>
      </c>
      <c r="C225" s="2669" t="s">
        <v>1623</v>
      </c>
      <c r="D225" s="2665"/>
      <c r="E225" s="2665"/>
      <c r="F225" s="2666"/>
      <c r="G225" s="2573" t="s">
        <v>638</v>
      </c>
      <c r="H225" s="2573">
        <v>0</v>
      </c>
      <c r="I225" s="2573">
        <v>0</v>
      </c>
      <c r="J225" s="2573">
        <v>0</v>
      </c>
      <c r="K225" s="2573">
        <v>0</v>
      </c>
      <c r="L225" s="2573">
        <v>0</v>
      </c>
      <c r="M225" s="3127">
        <v>0</v>
      </c>
      <c r="N225" s="2563">
        <v>0</v>
      </c>
      <c r="O225" s="2563">
        <f>+'[4]Silnice stavba'!$B$229</f>
        <v>0</v>
      </c>
      <c r="P225" s="2638">
        <f t="shared" si="9"/>
        <v>0</v>
      </c>
      <c r="Q225" s="2563"/>
      <c r="R225" s="2563"/>
      <c r="S225" s="2563"/>
      <c r="T225" s="2563"/>
      <c r="U225" s="2563"/>
      <c r="V225" s="2487"/>
      <c r="W225" s="2530"/>
    </row>
    <row r="226" spans="1:23" ht="26.25" hidden="1" outlineLevel="1">
      <c r="A226" s="2564"/>
      <c r="B226" s="2559" t="s">
        <v>153</v>
      </c>
      <c r="C226" s="2669" t="s">
        <v>1624</v>
      </c>
      <c r="D226" s="2665"/>
      <c r="E226" s="2665"/>
      <c r="F226" s="2666"/>
      <c r="G226" s="2573" t="s">
        <v>638</v>
      </c>
      <c r="H226" s="2573">
        <v>0</v>
      </c>
      <c r="I226" s="2573">
        <v>0</v>
      </c>
      <c r="J226" s="2573">
        <v>0</v>
      </c>
      <c r="K226" s="2573">
        <v>0</v>
      </c>
      <c r="L226" s="2573">
        <v>0</v>
      </c>
      <c r="M226" s="3127">
        <v>0</v>
      </c>
      <c r="N226" s="2563">
        <v>0</v>
      </c>
      <c r="O226" s="2563">
        <f>+'[4]Silnice stavba'!$B$230</f>
        <v>0</v>
      </c>
      <c r="P226" s="2638">
        <f t="shared" si="9"/>
        <v>0</v>
      </c>
      <c r="Q226" s="2563"/>
      <c r="R226" s="2563"/>
      <c r="S226" s="2563"/>
      <c r="T226" s="2563"/>
      <c r="U226" s="2563"/>
      <c r="V226" s="2487"/>
      <c r="W226" s="2530"/>
    </row>
    <row r="227" spans="1:23" outlineLevel="1">
      <c r="A227" s="2564"/>
      <c r="B227" s="2559" t="s">
        <v>153</v>
      </c>
      <c r="C227" s="2669" t="s">
        <v>2546</v>
      </c>
      <c r="D227" s="2665"/>
      <c r="E227" s="2665"/>
      <c r="F227" s="2666"/>
      <c r="G227" s="2573" t="s">
        <v>638</v>
      </c>
      <c r="H227" s="2573">
        <v>350000</v>
      </c>
      <c r="I227" s="2573">
        <v>350000</v>
      </c>
      <c r="J227" s="2573">
        <v>350000</v>
      </c>
      <c r="K227" s="2573">
        <v>350000</v>
      </c>
      <c r="L227" s="2573">
        <v>350000</v>
      </c>
      <c r="M227" s="3127">
        <v>350000</v>
      </c>
      <c r="N227" s="2563">
        <v>350000</v>
      </c>
      <c r="O227" s="2563">
        <f>+'[4]Silnice stavba'!$B$247</f>
        <v>0</v>
      </c>
      <c r="P227" s="2638">
        <f t="shared" si="9"/>
        <v>-350000</v>
      </c>
      <c r="Q227" s="2563"/>
      <c r="R227" s="2563"/>
      <c r="S227" s="2563"/>
      <c r="T227" s="2563"/>
      <c r="U227" s="2563"/>
      <c r="V227" s="2487"/>
      <c r="W227" s="2530"/>
    </row>
    <row r="228" spans="1:23" outlineLevel="1">
      <c r="A228" s="2564"/>
      <c r="B228" s="2559" t="s">
        <v>153</v>
      </c>
      <c r="C228" s="2669" t="s">
        <v>2547</v>
      </c>
      <c r="D228" s="2665"/>
      <c r="E228" s="2665"/>
      <c r="F228" s="2666"/>
      <c r="G228" s="2573" t="s">
        <v>638</v>
      </c>
      <c r="H228" s="2573">
        <v>100000</v>
      </c>
      <c r="I228" s="2573">
        <v>100000</v>
      </c>
      <c r="J228" s="2573">
        <v>100000</v>
      </c>
      <c r="K228" s="2573">
        <v>100000</v>
      </c>
      <c r="L228" s="2573">
        <v>100000</v>
      </c>
      <c r="M228" s="3127">
        <v>100000</v>
      </c>
      <c r="N228" s="2563">
        <v>100000</v>
      </c>
      <c r="O228" s="2563">
        <f>+'[4]Silnice stavba'!$B$244</f>
        <v>0</v>
      </c>
      <c r="P228" s="2638">
        <f t="shared" si="9"/>
        <v>-100000</v>
      </c>
      <c r="Q228" s="2563"/>
      <c r="R228" s="2563"/>
      <c r="S228" s="2563"/>
      <c r="T228" s="2563"/>
      <c r="U228" s="2563"/>
      <c r="V228" s="2487"/>
      <c r="W228" s="2530"/>
    </row>
    <row r="229" spans="1:23" ht="12" hidden="1" customHeight="1" outlineLevel="1">
      <c r="A229" s="2564"/>
      <c r="B229" s="2559" t="s">
        <v>153</v>
      </c>
      <c r="C229" s="2664"/>
      <c r="D229" s="2665"/>
      <c r="E229" s="2665"/>
      <c r="F229" s="2666"/>
      <c r="G229" s="2573" t="s">
        <v>638</v>
      </c>
      <c r="H229" s="2573"/>
      <c r="I229" s="2573"/>
      <c r="J229" s="2573"/>
      <c r="K229" s="2573"/>
      <c r="L229" s="2573"/>
      <c r="M229" s="3127"/>
      <c r="N229" s="2563"/>
      <c r="O229" s="2563"/>
      <c r="P229" s="2638">
        <f t="shared" si="9"/>
        <v>0</v>
      </c>
      <c r="Q229" s="2563"/>
      <c r="R229" s="2563"/>
      <c r="S229" s="2563"/>
      <c r="T229" s="2563"/>
      <c r="U229" s="2563"/>
      <c r="V229" s="2487"/>
      <c r="W229" s="2530"/>
    </row>
    <row r="230" spans="1:23" ht="12" hidden="1" customHeight="1" outlineLevel="1">
      <c r="A230" s="2564"/>
      <c r="B230" s="2559" t="s">
        <v>153</v>
      </c>
      <c r="C230" s="2664"/>
      <c r="D230" s="2665"/>
      <c r="E230" s="2665"/>
      <c r="F230" s="2666"/>
      <c r="G230" s="2573" t="s">
        <v>638</v>
      </c>
      <c r="H230" s="2573"/>
      <c r="I230" s="2573"/>
      <c r="J230" s="2573"/>
      <c r="K230" s="2573"/>
      <c r="L230" s="2573"/>
      <c r="M230" s="3127"/>
      <c r="N230" s="2563"/>
      <c r="O230" s="2563"/>
      <c r="P230" s="2638">
        <f t="shared" si="9"/>
        <v>0</v>
      </c>
      <c r="Q230" s="2563"/>
      <c r="R230" s="2563"/>
      <c r="S230" s="2563"/>
      <c r="T230" s="2563"/>
      <c r="U230" s="2563"/>
      <c r="V230" s="2487"/>
      <c r="W230" s="2530"/>
    </row>
    <row r="231" spans="1:23" ht="12" hidden="1" customHeight="1" outlineLevel="1">
      <c r="A231" s="2564"/>
      <c r="B231" s="2559" t="s">
        <v>153</v>
      </c>
      <c r="C231" s="2664" t="s">
        <v>1625</v>
      </c>
      <c r="D231" s="2665"/>
      <c r="E231" s="2665"/>
      <c r="F231" s="2666"/>
      <c r="G231" s="2573" t="s">
        <v>638</v>
      </c>
      <c r="H231" s="2573">
        <v>0</v>
      </c>
      <c r="I231" s="2573">
        <v>0</v>
      </c>
      <c r="J231" s="2573">
        <v>0</v>
      </c>
      <c r="K231" s="2573">
        <v>0</v>
      </c>
      <c r="L231" s="2573">
        <v>0</v>
      </c>
      <c r="M231" s="3127">
        <v>0</v>
      </c>
      <c r="N231" s="2563">
        <v>0</v>
      </c>
      <c r="O231" s="2563">
        <f>+'[4]Silnice stavba'!$B$250</f>
        <v>0</v>
      </c>
      <c r="P231" s="2638">
        <f t="shared" si="9"/>
        <v>0</v>
      </c>
      <c r="Q231" s="2563"/>
      <c r="R231" s="2563"/>
      <c r="S231" s="2563"/>
      <c r="T231" s="2563"/>
      <c r="U231" s="2563"/>
      <c r="V231" s="2487"/>
      <c r="W231" s="2530"/>
    </row>
    <row r="232" spans="1:23" ht="12" hidden="1" customHeight="1" outlineLevel="1">
      <c r="A232" s="2564"/>
      <c r="B232" s="2559" t="s">
        <v>153</v>
      </c>
      <c r="C232" s="2664" t="s">
        <v>1625</v>
      </c>
      <c r="D232" s="2665"/>
      <c r="E232" s="2665"/>
      <c r="F232" s="2666"/>
      <c r="G232" s="2573" t="s">
        <v>638</v>
      </c>
      <c r="H232" s="2573">
        <v>0</v>
      </c>
      <c r="I232" s="2573">
        <v>0</v>
      </c>
      <c r="J232" s="2573">
        <v>0</v>
      </c>
      <c r="K232" s="2573">
        <v>0</v>
      </c>
      <c r="L232" s="2573">
        <v>0</v>
      </c>
      <c r="M232" s="3127">
        <v>0</v>
      </c>
      <c r="N232" s="2563">
        <v>0</v>
      </c>
      <c r="O232" s="2563">
        <f>+'[4]Silnice stavba'!$B$251</f>
        <v>0</v>
      </c>
      <c r="P232" s="2638">
        <f t="shared" si="9"/>
        <v>0</v>
      </c>
      <c r="Q232" s="2563"/>
      <c r="R232" s="2563"/>
      <c r="S232" s="2563"/>
      <c r="T232" s="2563"/>
      <c r="U232" s="2563"/>
      <c r="V232" s="2487"/>
      <c r="W232" s="2530"/>
    </row>
    <row r="233" spans="1:23" ht="12" hidden="1" customHeight="1" outlineLevel="1">
      <c r="A233" s="2564"/>
      <c r="B233" s="2559" t="s">
        <v>153</v>
      </c>
      <c r="C233" s="2664" t="s">
        <v>1626</v>
      </c>
      <c r="D233" s="2665"/>
      <c r="E233" s="2665"/>
      <c r="F233" s="2666"/>
      <c r="G233" s="2573" t="s">
        <v>638</v>
      </c>
      <c r="H233" s="2573">
        <v>0</v>
      </c>
      <c r="I233" s="2573">
        <v>0</v>
      </c>
      <c r="J233" s="2573">
        <v>0</v>
      </c>
      <c r="K233" s="2573">
        <v>0</v>
      </c>
      <c r="L233" s="2573">
        <v>0</v>
      </c>
      <c r="M233" s="3127">
        <v>0</v>
      </c>
      <c r="N233" s="2563">
        <v>0</v>
      </c>
      <c r="O233" s="2563">
        <f>+'[4]Silnice stavba'!$B$260</f>
        <v>0</v>
      </c>
      <c r="P233" s="2638">
        <f t="shared" si="9"/>
        <v>0</v>
      </c>
      <c r="Q233" s="2563"/>
      <c r="R233" s="2563"/>
      <c r="S233" s="2563"/>
      <c r="T233" s="2563"/>
      <c r="U233" s="2563"/>
      <c r="V233" s="2487"/>
      <c r="W233" s="2530"/>
    </row>
    <row r="234" spans="1:23" ht="12" hidden="1" customHeight="1" outlineLevel="1">
      <c r="A234" s="2564"/>
      <c r="B234" s="2559" t="s">
        <v>153</v>
      </c>
      <c r="C234" s="2664" t="s">
        <v>1626</v>
      </c>
      <c r="D234" s="2665"/>
      <c r="E234" s="2665"/>
      <c r="F234" s="2666"/>
      <c r="G234" s="2573" t="s">
        <v>638</v>
      </c>
      <c r="H234" s="2573">
        <v>0</v>
      </c>
      <c r="I234" s="2573">
        <v>0</v>
      </c>
      <c r="J234" s="2573">
        <v>0</v>
      </c>
      <c r="K234" s="2573">
        <v>0</v>
      </c>
      <c r="L234" s="2573">
        <v>0</v>
      </c>
      <c r="M234" s="3127">
        <v>0</v>
      </c>
      <c r="N234" s="2563">
        <v>0</v>
      </c>
      <c r="O234" s="2563">
        <f>+'[4]Silnice stavba'!$B$261</f>
        <v>0</v>
      </c>
      <c r="P234" s="2638">
        <f t="shared" si="9"/>
        <v>0</v>
      </c>
      <c r="Q234" s="2563"/>
      <c r="R234" s="2563"/>
      <c r="S234" s="2563"/>
      <c r="T234" s="2563"/>
      <c r="U234" s="2563"/>
      <c r="V234" s="2487"/>
      <c r="W234" s="2530"/>
    </row>
    <row r="235" spans="1:23" ht="12" hidden="1" customHeight="1" outlineLevel="1">
      <c r="A235" s="2564"/>
      <c r="B235" s="2559" t="s">
        <v>153</v>
      </c>
      <c r="C235" s="2669" t="s">
        <v>1627</v>
      </c>
      <c r="D235" s="2665"/>
      <c r="E235" s="2665"/>
      <c r="F235" s="2666"/>
      <c r="G235" s="2573" t="s">
        <v>638</v>
      </c>
      <c r="H235" s="2573">
        <v>0</v>
      </c>
      <c r="I235" s="2573">
        <v>0</v>
      </c>
      <c r="J235" s="2573">
        <v>0</v>
      </c>
      <c r="K235" s="2573">
        <v>0</v>
      </c>
      <c r="L235" s="2573">
        <v>0</v>
      </c>
      <c r="M235" s="3127">
        <v>0</v>
      </c>
      <c r="N235" s="2563">
        <v>0</v>
      </c>
      <c r="O235" s="2563">
        <f>+'[4]Silnice stavba'!$B$270</f>
        <v>0</v>
      </c>
      <c r="P235" s="2638">
        <f t="shared" si="9"/>
        <v>0</v>
      </c>
      <c r="Q235" s="2563"/>
      <c r="R235" s="2563"/>
      <c r="S235" s="2563"/>
      <c r="T235" s="2563"/>
      <c r="U235" s="2563"/>
      <c r="V235" s="2487"/>
      <c r="W235" s="2530"/>
    </row>
    <row r="236" spans="1:23" ht="12" hidden="1" customHeight="1" outlineLevel="1">
      <c r="A236" s="2564"/>
      <c r="B236" s="2559" t="s">
        <v>153</v>
      </c>
      <c r="C236" s="2669" t="s">
        <v>1628</v>
      </c>
      <c r="D236" s="2665"/>
      <c r="E236" s="2665"/>
      <c r="F236" s="2666"/>
      <c r="G236" s="2573" t="s">
        <v>638</v>
      </c>
      <c r="H236" s="2573">
        <v>0</v>
      </c>
      <c r="I236" s="2573">
        <v>0</v>
      </c>
      <c r="J236" s="2573">
        <v>0</v>
      </c>
      <c r="K236" s="2573">
        <v>0</v>
      </c>
      <c r="L236" s="2573">
        <v>0</v>
      </c>
      <c r="M236" s="3127">
        <v>0</v>
      </c>
      <c r="N236" s="2563">
        <v>0</v>
      </c>
      <c r="O236" s="2563">
        <f>+'[4]Silnice stavba'!$B$271</f>
        <v>0</v>
      </c>
      <c r="P236" s="2638">
        <f t="shared" si="9"/>
        <v>0</v>
      </c>
      <c r="Q236" s="2563"/>
      <c r="R236" s="2563"/>
      <c r="S236" s="2563"/>
      <c r="T236" s="2563"/>
      <c r="U236" s="2563"/>
      <c r="V236" s="2487"/>
      <c r="W236" s="2530"/>
    </row>
    <row r="237" spans="1:23" ht="12" hidden="1" customHeight="1" outlineLevel="1">
      <c r="A237" s="2564"/>
      <c r="B237" s="2559" t="s">
        <v>153</v>
      </c>
      <c r="C237" s="2664" t="s">
        <v>1629</v>
      </c>
      <c r="D237" s="2665"/>
      <c r="E237" s="2665"/>
      <c r="F237" s="2666"/>
      <c r="G237" s="2573" t="s">
        <v>638</v>
      </c>
      <c r="H237" s="2573">
        <v>0</v>
      </c>
      <c r="I237" s="2573">
        <v>0</v>
      </c>
      <c r="J237" s="2573">
        <v>0</v>
      </c>
      <c r="K237" s="2573">
        <v>0</v>
      </c>
      <c r="L237" s="2573">
        <v>0</v>
      </c>
      <c r="M237" s="3127">
        <v>0</v>
      </c>
      <c r="N237" s="2563">
        <v>0</v>
      </c>
      <c r="O237" s="2563">
        <f>+'[4]Silnice stavba'!$B$280</f>
        <v>0</v>
      </c>
      <c r="P237" s="2638">
        <f t="shared" si="9"/>
        <v>0</v>
      </c>
      <c r="Q237" s="2563"/>
      <c r="R237" s="2563"/>
      <c r="S237" s="2563"/>
      <c r="T237" s="2563"/>
      <c r="U237" s="2563"/>
      <c r="V237" s="2487"/>
      <c r="W237" s="2530"/>
    </row>
    <row r="238" spans="1:23" ht="12" hidden="1" customHeight="1" outlineLevel="1">
      <c r="A238" s="2564"/>
      <c r="B238" s="2559" t="s">
        <v>153</v>
      </c>
      <c r="C238" s="2664" t="s">
        <v>1630</v>
      </c>
      <c r="D238" s="2665"/>
      <c r="E238" s="2665"/>
      <c r="F238" s="2666"/>
      <c r="G238" s="2573" t="s">
        <v>638</v>
      </c>
      <c r="H238" s="2573">
        <v>0</v>
      </c>
      <c r="I238" s="2573">
        <v>0</v>
      </c>
      <c r="J238" s="2573">
        <v>0</v>
      </c>
      <c r="K238" s="2573">
        <v>0</v>
      </c>
      <c r="L238" s="2573">
        <v>0</v>
      </c>
      <c r="M238" s="3127">
        <v>0</v>
      </c>
      <c r="N238" s="2563">
        <v>0</v>
      </c>
      <c r="O238" s="2563">
        <f>+'[4]Silnice stavba'!$B$281</f>
        <v>0</v>
      </c>
      <c r="P238" s="2638">
        <f t="shared" si="9"/>
        <v>0</v>
      </c>
      <c r="Q238" s="2563"/>
      <c r="R238" s="2563"/>
      <c r="S238" s="2563"/>
      <c r="T238" s="2563"/>
      <c r="U238" s="2563"/>
      <c r="V238" s="2487"/>
      <c r="W238" s="2530"/>
    </row>
    <row r="239" spans="1:23" ht="12" customHeight="1" outlineLevel="1">
      <c r="A239" s="2564"/>
      <c r="B239" s="2559" t="s">
        <v>153</v>
      </c>
      <c r="C239" s="2664" t="s">
        <v>2167</v>
      </c>
      <c r="D239" s="2665"/>
      <c r="E239" s="2665"/>
      <c r="F239" s="2666"/>
      <c r="G239" s="2573" t="s">
        <v>638</v>
      </c>
      <c r="H239" s="2573">
        <v>2000000</v>
      </c>
      <c r="I239" s="2573">
        <v>6000000</v>
      </c>
      <c r="J239" s="2573">
        <v>6000000</v>
      </c>
      <c r="K239" s="2573">
        <v>6000000</v>
      </c>
      <c r="L239" s="2573">
        <v>6000000</v>
      </c>
      <c r="M239" s="3127">
        <v>6000000</v>
      </c>
      <c r="N239" s="2670">
        <v>0</v>
      </c>
      <c r="O239" s="2670">
        <f>+'[4]Silnice stavba'!$B$290</f>
        <v>0</v>
      </c>
      <c r="P239" s="2638">
        <f t="shared" si="9"/>
        <v>0</v>
      </c>
      <c r="Q239" s="2563"/>
      <c r="R239" s="2563"/>
      <c r="S239" s="2563"/>
      <c r="T239" s="2563"/>
      <c r="U239" s="2563"/>
      <c r="V239" s="2487"/>
      <c r="W239" s="2530"/>
    </row>
    <row r="240" spans="1:23" ht="12" hidden="1" customHeight="1" outlineLevel="1">
      <c r="A240" s="2564"/>
      <c r="B240" s="2559" t="s">
        <v>153</v>
      </c>
      <c r="C240" s="2664" t="s">
        <v>2168</v>
      </c>
      <c r="D240" s="2665"/>
      <c r="E240" s="2665"/>
      <c r="F240" s="2666"/>
      <c r="G240" s="2573" t="s">
        <v>638</v>
      </c>
      <c r="H240" s="2573">
        <v>0</v>
      </c>
      <c r="I240" s="2573">
        <v>0</v>
      </c>
      <c r="J240" s="2573">
        <v>0</v>
      </c>
      <c r="K240" s="2573">
        <v>0</v>
      </c>
      <c r="L240" s="2573">
        <v>0</v>
      </c>
      <c r="M240" s="3127">
        <v>0</v>
      </c>
      <c r="N240" s="2563">
        <v>0</v>
      </c>
      <c r="O240" s="2563">
        <f>+'[4]Silnice stavba'!$B$291</f>
        <v>0</v>
      </c>
      <c r="P240" s="2638">
        <f t="shared" si="9"/>
        <v>0</v>
      </c>
      <c r="Q240" s="2563"/>
      <c r="R240" s="2563"/>
      <c r="S240" s="2563"/>
      <c r="T240" s="2563"/>
      <c r="U240" s="2563"/>
      <c r="V240" s="2487"/>
      <c r="W240" s="2530"/>
    </row>
    <row r="241" spans="1:23" ht="12" hidden="1" customHeight="1" outlineLevel="1">
      <c r="A241" s="2564"/>
      <c r="B241" s="2559" t="s">
        <v>153</v>
      </c>
      <c r="C241" s="2664" t="s">
        <v>2169</v>
      </c>
      <c r="D241" s="2665"/>
      <c r="E241" s="2665"/>
      <c r="F241" s="2666"/>
      <c r="G241" s="2573" t="s">
        <v>638</v>
      </c>
      <c r="H241" s="2573">
        <v>0</v>
      </c>
      <c r="I241" s="2573">
        <v>0</v>
      </c>
      <c r="J241" s="2573">
        <v>0</v>
      </c>
      <c r="K241" s="2573">
        <v>0</v>
      </c>
      <c r="L241" s="2573">
        <v>0</v>
      </c>
      <c r="M241" s="3127">
        <v>0</v>
      </c>
      <c r="N241" s="2563">
        <v>0</v>
      </c>
      <c r="O241" s="2563">
        <f>+'[4]Silnice stavba'!$B$300</f>
        <v>0</v>
      </c>
      <c r="P241" s="2638">
        <f t="shared" si="9"/>
        <v>0</v>
      </c>
      <c r="Q241" s="2563"/>
      <c r="R241" s="2563"/>
      <c r="S241" s="2563"/>
      <c r="T241" s="2563"/>
      <c r="U241" s="2563" t="s">
        <v>337</v>
      </c>
      <c r="V241" s="2487"/>
      <c r="W241" s="2530"/>
    </row>
    <row r="242" spans="1:23" ht="12" customHeight="1" outlineLevel="1">
      <c r="A242" s="2564"/>
      <c r="B242" s="2559" t="s">
        <v>153</v>
      </c>
      <c r="C242" s="2664" t="s">
        <v>2353</v>
      </c>
      <c r="D242" s="2665"/>
      <c r="E242" s="2665"/>
      <c r="F242" s="2666"/>
      <c r="G242" s="2573" t="s">
        <v>638</v>
      </c>
      <c r="H242" s="2573">
        <v>212604</v>
      </c>
      <c r="I242" s="2573">
        <v>212604</v>
      </c>
      <c r="J242" s="2573">
        <v>212604</v>
      </c>
      <c r="K242" s="2573">
        <v>212604</v>
      </c>
      <c r="L242" s="2573">
        <v>212604</v>
      </c>
      <c r="M242" s="3127">
        <v>212604</v>
      </c>
      <c r="N242" s="2563">
        <v>212604</v>
      </c>
      <c r="O242" s="2563">
        <f>+'[4]Silnice stavba'!$B$301</f>
        <v>50000</v>
      </c>
      <c r="P242" s="2638">
        <f t="shared" si="9"/>
        <v>-162604</v>
      </c>
      <c r="Q242" s="2563"/>
      <c r="R242" s="2563"/>
      <c r="S242" s="2563"/>
      <c r="T242" s="2563"/>
      <c r="U242" s="2563"/>
      <c r="V242" s="2487"/>
      <c r="W242" s="2530"/>
    </row>
    <row r="243" spans="1:23" ht="12" customHeight="1" outlineLevel="1">
      <c r="A243" s="2564"/>
      <c r="B243" s="2559" t="s">
        <v>153</v>
      </c>
      <c r="C243" s="2664" t="s">
        <v>2985</v>
      </c>
      <c r="D243" s="2665"/>
      <c r="E243" s="2665"/>
      <c r="F243" s="2666"/>
      <c r="G243" s="2573" t="s">
        <v>638</v>
      </c>
      <c r="H243" s="2573">
        <v>0</v>
      </c>
      <c r="I243" s="2573">
        <v>0</v>
      </c>
      <c r="J243" s="2573">
        <v>0</v>
      </c>
      <c r="K243" s="2573">
        <v>0</v>
      </c>
      <c r="L243" s="2573">
        <v>0</v>
      </c>
      <c r="M243" s="3127">
        <v>0</v>
      </c>
      <c r="N243" s="2670">
        <v>0</v>
      </c>
      <c r="O243" s="2670">
        <f>+'[4]Silnice stavba'!$B$317</f>
        <v>0</v>
      </c>
      <c r="P243" s="2638">
        <f t="shared" si="9"/>
        <v>0</v>
      </c>
      <c r="Q243" s="2563"/>
      <c r="R243" s="2563"/>
      <c r="S243" s="2563"/>
      <c r="T243" s="2563"/>
      <c r="U243" s="2563"/>
      <c r="V243" s="2487"/>
      <c r="W243" s="2530"/>
    </row>
    <row r="244" spans="1:23" ht="12" customHeight="1" outlineLevel="1">
      <c r="A244" s="2564"/>
      <c r="B244" s="2559" t="s">
        <v>153</v>
      </c>
      <c r="C244" s="2664" t="s">
        <v>2548</v>
      </c>
      <c r="D244" s="2665"/>
      <c r="E244" s="2665"/>
      <c r="F244" s="2666"/>
      <c r="G244" s="2573" t="s">
        <v>638</v>
      </c>
      <c r="H244" s="2573">
        <v>300000</v>
      </c>
      <c r="I244" s="2573">
        <v>300000</v>
      </c>
      <c r="J244" s="2573">
        <v>300000</v>
      </c>
      <c r="K244" s="2573">
        <v>300000</v>
      </c>
      <c r="L244" s="2573">
        <v>300000</v>
      </c>
      <c r="M244" s="3127">
        <v>300000</v>
      </c>
      <c r="N244" s="2563">
        <v>300000</v>
      </c>
      <c r="O244" s="2563">
        <f>+'[4]Silnice stavba'!$B$314</f>
        <v>100000</v>
      </c>
      <c r="P244" s="2638">
        <f t="shared" si="9"/>
        <v>-200000</v>
      </c>
      <c r="Q244" s="2563"/>
      <c r="R244" s="2563"/>
      <c r="S244" s="2563"/>
      <c r="T244" s="2563"/>
      <c r="U244" s="2563"/>
      <c r="V244" s="2487"/>
      <c r="W244" s="2530"/>
    </row>
    <row r="245" spans="1:23" ht="12" hidden="1" customHeight="1" outlineLevel="1">
      <c r="A245" s="2564"/>
      <c r="B245" s="2559" t="s">
        <v>153</v>
      </c>
      <c r="C245" s="2664" t="s">
        <v>1654</v>
      </c>
      <c r="D245" s="2665"/>
      <c r="E245" s="2665"/>
      <c r="F245" s="2666"/>
      <c r="G245" s="2573" t="s">
        <v>638</v>
      </c>
      <c r="H245" s="2573">
        <v>0</v>
      </c>
      <c r="I245" s="2573">
        <v>0</v>
      </c>
      <c r="J245" s="2573">
        <v>0</v>
      </c>
      <c r="K245" s="2573">
        <v>0</v>
      </c>
      <c r="L245" s="2573">
        <v>0</v>
      </c>
      <c r="M245" s="3127">
        <v>0</v>
      </c>
      <c r="N245" s="2563">
        <v>0</v>
      </c>
      <c r="O245" s="2563">
        <f>+'[4]Silnice - pozemky'!$B$4</f>
        <v>0</v>
      </c>
      <c r="P245" s="2638">
        <f t="shared" si="9"/>
        <v>0</v>
      </c>
      <c r="Q245" s="2563"/>
      <c r="R245" s="2563"/>
      <c r="S245" s="2563"/>
      <c r="T245" s="2563"/>
      <c r="U245" s="2563"/>
      <c r="V245" s="2487"/>
      <c r="W245" s="2530"/>
    </row>
    <row r="246" spans="1:23" ht="12" hidden="1" customHeight="1" outlineLevel="1">
      <c r="A246" s="2564"/>
      <c r="B246" s="2559" t="s">
        <v>153</v>
      </c>
      <c r="C246" s="2671" t="s">
        <v>2207</v>
      </c>
      <c r="D246" s="2672"/>
      <c r="E246" s="2672"/>
      <c r="F246" s="2673"/>
      <c r="G246" s="2573" t="s">
        <v>638</v>
      </c>
      <c r="H246" s="2682">
        <v>0</v>
      </c>
      <c r="I246" s="2682">
        <v>0</v>
      </c>
      <c r="J246" s="2682">
        <v>0</v>
      </c>
      <c r="K246" s="2682">
        <v>0</v>
      </c>
      <c r="L246" s="2682"/>
      <c r="M246" s="3136"/>
      <c r="N246" s="2579"/>
      <c r="O246" s="2579"/>
      <c r="P246" s="2638">
        <f t="shared" si="9"/>
        <v>0</v>
      </c>
      <c r="Q246" s="2579"/>
      <c r="R246" s="2579"/>
      <c r="S246" s="2579"/>
      <c r="T246" s="2579"/>
      <c r="U246" s="2579"/>
      <c r="V246" s="2487"/>
      <c r="W246" s="2530"/>
    </row>
    <row r="247" spans="1:23" ht="12" hidden="1" customHeight="1" outlineLevel="1">
      <c r="A247" s="2564"/>
      <c r="B247" s="2559" t="s">
        <v>153</v>
      </c>
      <c r="C247" s="2671" t="s">
        <v>2208</v>
      </c>
      <c r="D247" s="2672"/>
      <c r="E247" s="2672"/>
      <c r="F247" s="2673"/>
      <c r="G247" s="2573" t="s">
        <v>638</v>
      </c>
      <c r="H247" s="2682"/>
      <c r="I247" s="2682"/>
      <c r="J247" s="2682"/>
      <c r="K247" s="2682"/>
      <c r="L247" s="2682"/>
      <c r="M247" s="3136"/>
      <c r="N247" s="2579"/>
      <c r="O247" s="2579"/>
      <c r="P247" s="2638">
        <f t="shared" si="9"/>
        <v>0</v>
      </c>
      <c r="Q247" s="2579"/>
      <c r="R247" s="2579"/>
      <c r="S247" s="2579"/>
      <c r="T247" s="2579"/>
      <c r="U247" s="2579"/>
      <c r="V247" s="2487"/>
      <c r="W247" s="2530"/>
    </row>
    <row r="248" spans="1:23" ht="12" hidden="1" customHeight="1" outlineLevel="1">
      <c r="A248" s="2564"/>
      <c r="B248" s="2559" t="s">
        <v>153</v>
      </c>
      <c r="C248" s="2671" t="s">
        <v>2205</v>
      </c>
      <c r="D248" s="2672"/>
      <c r="E248" s="2672"/>
      <c r="F248" s="2673"/>
      <c r="G248" s="2573" t="s">
        <v>638</v>
      </c>
      <c r="H248" s="2682"/>
      <c r="I248" s="2682"/>
      <c r="J248" s="2682"/>
      <c r="K248" s="2682"/>
      <c r="L248" s="2682"/>
      <c r="M248" s="3136"/>
      <c r="N248" s="2579"/>
      <c r="O248" s="2579"/>
      <c r="P248" s="2674">
        <f t="shared" si="9"/>
        <v>0</v>
      </c>
      <c r="Q248" s="2579"/>
      <c r="R248" s="2579"/>
      <c r="S248" s="2579"/>
      <c r="T248" s="2579"/>
      <c r="U248" s="2579"/>
      <c r="V248" s="2487"/>
      <c r="W248" s="2530"/>
    </row>
    <row r="249" spans="1:23" ht="12" hidden="1" customHeight="1" outlineLevel="1">
      <c r="A249" s="2564"/>
      <c r="B249" s="2559" t="s">
        <v>153</v>
      </c>
      <c r="C249" s="2671" t="s">
        <v>2207</v>
      </c>
      <c r="D249" s="2672"/>
      <c r="E249" s="2672"/>
      <c r="F249" s="2673"/>
      <c r="G249" s="2573" t="s">
        <v>638</v>
      </c>
      <c r="H249" s="2682"/>
      <c r="I249" s="2682"/>
      <c r="J249" s="2682"/>
      <c r="K249" s="2682"/>
      <c r="L249" s="2682"/>
      <c r="M249" s="3136"/>
      <c r="N249" s="2579"/>
      <c r="O249" s="2579"/>
      <c r="P249" s="2674">
        <f t="shared" si="9"/>
        <v>0</v>
      </c>
      <c r="Q249" s="2579"/>
      <c r="R249" s="2579"/>
      <c r="S249" s="2579"/>
      <c r="T249" s="2579"/>
      <c r="U249" s="2579"/>
      <c r="V249" s="2487"/>
      <c r="W249" s="2530"/>
    </row>
    <row r="250" spans="1:23" ht="12" hidden="1" customHeight="1" outlineLevel="1">
      <c r="A250" s="2564"/>
      <c r="B250" s="2559" t="s">
        <v>153</v>
      </c>
      <c r="C250" s="2671" t="s">
        <v>2282</v>
      </c>
      <c r="D250" s="2672"/>
      <c r="E250" s="2672"/>
      <c r="F250" s="2673"/>
      <c r="G250" s="2573" t="s">
        <v>638</v>
      </c>
      <c r="H250" s="2682"/>
      <c r="I250" s="2682"/>
      <c r="J250" s="2682"/>
      <c r="K250" s="2682"/>
      <c r="L250" s="2682"/>
      <c r="M250" s="3136"/>
      <c r="N250" s="2579"/>
      <c r="O250" s="2579"/>
      <c r="P250" s="2674">
        <f t="shared" si="9"/>
        <v>0</v>
      </c>
      <c r="Q250" s="2579"/>
      <c r="R250" s="2579"/>
      <c r="S250" s="2579"/>
      <c r="T250" s="2579"/>
      <c r="U250" s="2579"/>
      <c r="V250" s="2487"/>
      <c r="W250" s="2530"/>
    </row>
    <row r="251" spans="1:23" ht="12" hidden="1" customHeight="1" outlineLevel="1">
      <c r="A251" s="2564"/>
      <c r="B251" s="2559" t="s">
        <v>153</v>
      </c>
      <c r="C251" s="2671" t="s">
        <v>2209</v>
      </c>
      <c r="D251" s="2672"/>
      <c r="E251" s="2672"/>
      <c r="F251" s="2673"/>
      <c r="G251" s="2573" t="s">
        <v>638</v>
      </c>
      <c r="H251" s="2682"/>
      <c r="I251" s="2682"/>
      <c r="J251" s="2682"/>
      <c r="K251" s="2682"/>
      <c r="L251" s="2682"/>
      <c r="M251" s="3136"/>
      <c r="N251" s="2579"/>
      <c r="O251" s="2579"/>
      <c r="P251" s="2674">
        <f t="shared" si="9"/>
        <v>0</v>
      </c>
      <c r="Q251" s="2579"/>
      <c r="R251" s="2579"/>
      <c r="S251" s="2579"/>
      <c r="T251" s="2579"/>
      <c r="U251" s="2579"/>
      <c r="V251" s="2487"/>
      <c r="W251" s="2530"/>
    </row>
    <row r="252" spans="1:23" ht="12" customHeight="1" outlineLevel="1">
      <c r="A252" s="2564"/>
      <c r="B252" s="2559" t="s">
        <v>153</v>
      </c>
      <c r="C252" s="2671" t="s">
        <v>2282</v>
      </c>
      <c r="D252" s="2672"/>
      <c r="E252" s="2672"/>
      <c r="F252" s="2673"/>
      <c r="G252" s="2682"/>
      <c r="H252" s="2682">
        <v>240000</v>
      </c>
      <c r="I252" s="2682">
        <v>240000</v>
      </c>
      <c r="J252" s="2682">
        <v>240000</v>
      </c>
      <c r="K252" s="2682">
        <v>240000</v>
      </c>
      <c r="L252" s="2682">
        <v>240000</v>
      </c>
      <c r="M252" s="3136">
        <v>240000</v>
      </c>
      <c r="N252" s="2579">
        <v>240000</v>
      </c>
      <c r="O252" s="2579">
        <f>+[3]Silnice!$B$80</f>
        <v>140000</v>
      </c>
      <c r="P252" s="2674">
        <f t="shared" si="9"/>
        <v>-100000</v>
      </c>
      <c r="Q252" s="2579"/>
      <c r="R252" s="2579"/>
      <c r="S252" s="2579"/>
      <c r="T252" s="2579"/>
      <c r="U252" s="2579"/>
      <c r="V252" s="2487"/>
      <c r="W252" s="2530"/>
    </row>
    <row r="253" spans="1:23" ht="12" customHeight="1" outlineLevel="1">
      <c r="A253" s="2564"/>
      <c r="B253" s="2559" t="s">
        <v>153</v>
      </c>
      <c r="C253" s="2671" t="s">
        <v>2209</v>
      </c>
      <c r="D253" s="2672"/>
      <c r="E253" s="2672"/>
      <c r="F253" s="2673"/>
      <c r="G253" s="2682"/>
      <c r="H253" s="2682">
        <v>300000</v>
      </c>
      <c r="I253" s="2682">
        <v>300000</v>
      </c>
      <c r="J253" s="2682">
        <v>300000</v>
      </c>
      <c r="K253" s="2682">
        <v>300000</v>
      </c>
      <c r="L253" s="2682">
        <v>300000</v>
      </c>
      <c r="M253" s="3136">
        <v>300000</v>
      </c>
      <c r="N253" s="2579">
        <v>300000</v>
      </c>
      <c r="O253" s="2579">
        <f>+[3]Silnice!$D$81</f>
        <v>150000</v>
      </c>
      <c r="P253" s="2674">
        <f t="shared" si="9"/>
        <v>-150000</v>
      </c>
      <c r="Q253" s="2579"/>
      <c r="R253" s="2579"/>
      <c r="S253" s="2579"/>
      <c r="T253" s="2579"/>
      <c r="U253" s="2579"/>
      <c r="V253" s="2487"/>
      <c r="W253" s="2530"/>
    </row>
    <row r="254" spans="1:23" ht="12" hidden="1" customHeight="1" outlineLevel="1">
      <c r="A254" s="2564"/>
      <c r="B254" s="2559" t="s">
        <v>153</v>
      </c>
      <c r="C254" s="2671"/>
      <c r="D254" s="2672"/>
      <c r="E254" s="2672"/>
      <c r="F254" s="2673"/>
      <c r="G254" s="2682"/>
      <c r="H254" s="2682"/>
      <c r="I254" s="2682"/>
      <c r="J254" s="2682"/>
      <c r="K254" s="2682"/>
      <c r="L254" s="2682"/>
      <c r="M254" s="3136"/>
      <c r="N254" s="2579"/>
      <c r="O254" s="2579"/>
      <c r="P254" s="2674">
        <f t="shared" si="9"/>
        <v>0</v>
      </c>
      <c r="Q254" s="2579"/>
      <c r="R254" s="2579"/>
      <c r="S254" s="2579"/>
      <c r="T254" s="2579"/>
      <c r="U254" s="2579"/>
      <c r="V254" s="2487"/>
      <c r="W254" s="2530"/>
    </row>
    <row r="255" spans="1:23" ht="12" customHeight="1" outlineLevel="1" thickBot="1">
      <c r="A255" s="2624">
        <v>2212</v>
      </c>
      <c r="B255" s="2637" t="s">
        <v>153</v>
      </c>
      <c r="C255" s="2675"/>
      <c r="D255" s="2676"/>
      <c r="E255" s="2676"/>
      <c r="F255" s="2677"/>
      <c r="G255" s="2676" t="s">
        <v>638</v>
      </c>
      <c r="H255" s="2676"/>
      <c r="I255" s="2676"/>
      <c r="J255" s="2676"/>
      <c r="K255" s="2676"/>
      <c r="L255" s="2676"/>
      <c r="M255" s="3144"/>
      <c r="N255" s="2537"/>
      <c r="O255" s="2537"/>
      <c r="P255" s="2538">
        <f t="shared" si="9"/>
        <v>0</v>
      </c>
      <c r="Q255" s="2537"/>
      <c r="R255" s="2537"/>
      <c r="S255" s="2537"/>
      <c r="T255" s="2537"/>
      <c r="U255" s="2537"/>
      <c r="V255" s="2487"/>
      <c r="W255" s="2530"/>
    </row>
    <row r="256" spans="1:23" ht="13.9" thickBot="1">
      <c r="A256" s="3276" t="s">
        <v>631</v>
      </c>
      <c r="B256" s="3277"/>
      <c r="C256" s="2523"/>
      <c r="D256" s="2524"/>
      <c r="E256" s="2524"/>
      <c r="F256" s="2525"/>
      <c r="G256" s="2524"/>
      <c r="H256" s="2524">
        <v>8852604</v>
      </c>
      <c r="I256" s="2524">
        <v>17052604</v>
      </c>
      <c r="J256" s="2524">
        <v>17052604</v>
      </c>
      <c r="K256" s="2524">
        <v>17052604</v>
      </c>
      <c r="L256" s="2524">
        <v>17052604</v>
      </c>
      <c r="M256" s="3123">
        <v>17052604</v>
      </c>
      <c r="N256" s="2526">
        <v>2552604</v>
      </c>
      <c r="O256" s="2526">
        <f>SUM(O188:O255)</f>
        <v>790000</v>
      </c>
      <c r="P256" s="2527">
        <f t="shared" si="9"/>
        <v>-1762604</v>
      </c>
      <c r="Q256" s="2528"/>
      <c r="R256" s="2528">
        <f>SUM(R188:R255)</f>
        <v>0</v>
      </c>
      <c r="S256" s="2528"/>
      <c r="T256" s="2528"/>
      <c r="U256" s="2528"/>
      <c r="V256" s="2529">
        <f>'Výdaje kapitol celkem'!CJ72</f>
        <v>790000</v>
      </c>
      <c r="W256" s="2530">
        <f>+V256-O256</f>
        <v>0</v>
      </c>
    </row>
    <row r="257" spans="1:23" s="2571" customFormat="1" ht="12" customHeight="1" outlineLevel="1">
      <c r="A257" s="2564"/>
      <c r="B257" s="2506" t="s">
        <v>156</v>
      </c>
      <c r="C257" s="2643" t="s">
        <v>1632</v>
      </c>
      <c r="D257" s="2605"/>
      <c r="E257" s="2605"/>
      <c r="F257" s="2678"/>
      <c r="G257" s="2573" t="s">
        <v>638</v>
      </c>
      <c r="H257" s="2566">
        <v>250000</v>
      </c>
      <c r="I257" s="2566">
        <v>250000</v>
      </c>
      <c r="J257" s="2566">
        <v>250000</v>
      </c>
      <c r="K257" s="2566">
        <v>250000</v>
      </c>
      <c r="L257" s="2566">
        <v>250000</v>
      </c>
      <c r="M257" s="3126">
        <v>250000</v>
      </c>
      <c r="N257" s="2510">
        <v>250000</v>
      </c>
      <c r="O257" s="2510">
        <f>+'[4]Inženýrské sítě'!$B$4</f>
        <v>0</v>
      </c>
      <c r="P257" s="2511">
        <f t="shared" si="9"/>
        <v>-250000</v>
      </c>
      <c r="Q257" s="2510"/>
      <c r="R257" s="2510"/>
      <c r="S257" s="2510"/>
      <c r="T257" s="2510"/>
      <c r="U257" s="2510"/>
      <c r="V257" s="2487"/>
      <c r="W257" s="2530"/>
    </row>
    <row r="258" spans="1:23" s="2571" customFormat="1" ht="12" customHeight="1" outlineLevel="1" thickBot="1">
      <c r="A258" s="2624">
        <v>3633</v>
      </c>
      <c r="B258" s="2559" t="s">
        <v>156</v>
      </c>
      <c r="C258" s="2572" t="s">
        <v>1631</v>
      </c>
      <c r="D258" s="2573"/>
      <c r="E258" s="2573"/>
      <c r="F258" s="2574"/>
      <c r="G258" s="2573" t="s">
        <v>638</v>
      </c>
      <c r="H258" s="2573">
        <v>0</v>
      </c>
      <c r="I258" s="2573">
        <v>0</v>
      </c>
      <c r="J258" s="2573">
        <v>0</v>
      </c>
      <c r="K258" s="2573">
        <v>0</v>
      </c>
      <c r="L258" s="2573">
        <v>0</v>
      </c>
      <c r="M258" s="3127">
        <v>0</v>
      </c>
      <c r="N258" s="2563">
        <v>0</v>
      </c>
      <c r="O258" s="2563">
        <f>+'[4]Inženýrské sítě'!$B$5</f>
        <v>0</v>
      </c>
      <c r="P258" s="2638">
        <f t="shared" si="9"/>
        <v>0</v>
      </c>
      <c r="Q258" s="2563"/>
      <c r="R258" s="2563"/>
      <c r="S258" s="2563"/>
      <c r="T258" s="2563"/>
      <c r="U258" s="2563"/>
      <c r="V258" s="2487"/>
      <c r="W258" s="2530"/>
    </row>
    <row r="259" spans="1:23" s="2571" customFormat="1" ht="12.75" customHeight="1" thickBot="1">
      <c r="A259" s="3276" t="s">
        <v>1181</v>
      </c>
      <c r="B259" s="3277"/>
      <c r="C259" s="2523"/>
      <c r="D259" s="2524"/>
      <c r="E259" s="2524"/>
      <c r="F259" s="2525"/>
      <c r="G259" s="2523"/>
      <c r="H259" s="2523">
        <v>250000</v>
      </c>
      <c r="I259" s="2523">
        <v>250000</v>
      </c>
      <c r="J259" s="2523">
        <v>250000</v>
      </c>
      <c r="K259" s="2523">
        <v>250000</v>
      </c>
      <c r="L259" s="2523">
        <v>250000</v>
      </c>
      <c r="M259" s="3145">
        <v>250000</v>
      </c>
      <c r="N259" s="2526">
        <v>250000</v>
      </c>
      <c r="O259" s="2526">
        <f>SUM(O257:O258)</f>
        <v>0</v>
      </c>
      <c r="P259" s="2527">
        <f t="shared" si="9"/>
        <v>-250000</v>
      </c>
      <c r="Q259" s="2528"/>
      <c r="R259" s="2528"/>
      <c r="S259" s="2528"/>
      <c r="T259" s="2528"/>
      <c r="U259" s="2528"/>
      <c r="V259" s="2529">
        <f>'Výdaje kapitol celkem'!CZ72</f>
        <v>0</v>
      </c>
      <c r="W259" s="2530">
        <f>+V259-O259</f>
        <v>0</v>
      </c>
    </row>
    <row r="260" spans="1:23" s="2571" customFormat="1" ht="26.65" outlineLevel="1">
      <c r="A260" s="2564"/>
      <c r="B260" s="2506" t="s">
        <v>155</v>
      </c>
      <c r="C260" s="2643" t="s">
        <v>1655</v>
      </c>
      <c r="D260" s="2605"/>
      <c r="E260" s="2605"/>
      <c r="F260" s="2678"/>
      <c r="G260" s="2573" t="s">
        <v>638</v>
      </c>
      <c r="H260" s="2566">
        <v>50000</v>
      </c>
      <c r="I260" s="2566">
        <v>50000</v>
      </c>
      <c r="J260" s="2566">
        <v>50000</v>
      </c>
      <c r="K260" s="2566">
        <v>50000</v>
      </c>
      <c r="L260" s="2566">
        <v>50000</v>
      </c>
      <c r="M260" s="3126">
        <v>50000</v>
      </c>
      <c r="N260" s="2510">
        <v>50000</v>
      </c>
      <c r="O260" s="2510">
        <f>+[4]Kanalizace!$B$8</f>
        <v>50000</v>
      </c>
      <c r="P260" s="2511">
        <f t="shared" si="9"/>
        <v>0</v>
      </c>
      <c r="Q260" s="2512"/>
      <c r="R260" s="2513"/>
      <c r="S260" s="2514"/>
      <c r="T260" s="2514"/>
      <c r="U260" s="2510"/>
      <c r="V260" s="2487"/>
      <c r="W260" s="2530"/>
    </row>
    <row r="261" spans="1:23" s="2571" customFormat="1" ht="26.65" hidden="1" outlineLevel="1">
      <c r="A261" s="2564"/>
      <c r="B261" s="2559" t="s">
        <v>155</v>
      </c>
      <c r="C261" s="2572" t="s">
        <v>1656</v>
      </c>
      <c r="D261" s="2573"/>
      <c r="E261" s="2573"/>
      <c r="F261" s="2574"/>
      <c r="G261" s="2573" t="s">
        <v>638</v>
      </c>
      <c r="H261" s="2573">
        <v>0</v>
      </c>
      <c r="I261" s="2573">
        <v>0</v>
      </c>
      <c r="J261" s="2573">
        <v>0</v>
      </c>
      <c r="K261" s="2573">
        <v>0</v>
      </c>
      <c r="L261" s="2573">
        <v>0</v>
      </c>
      <c r="M261" s="3127">
        <v>0</v>
      </c>
      <c r="N261" s="2563">
        <v>0</v>
      </c>
      <c r="O261" s="2563">
        <f>+[4]Kanalizace!$B$9</f>
        <v>0</v>
      </c>
      <c r="P261" s="2638">
        <f t="shared" si="9"/>
        <v>0</v>
      </c>
      <c r="Q261" s="2679"/>
      <c r="R261" s="2632"/>
      <c r="S261" s="2680"/>
      <c r="T261" s="2680"/>
      <c r="U261" s="2563"/>
      <c r="V261" s="2487"/>
      <c r="W261" s="2530"/>
    </row>
    <row r="262" spans="1:23" s="2571" customFormat="1" ht="12" hidden="1" customHeight="1" outlineLevel="1">
      <c r="A262" s="2564"/>
      <c r="B262" s="2559" t="s">
        <v>155</v>
      </c>
      <c r="C262" s="2572" t="s">
        <v>1657</v>
      </c>
      <c r="D262" s="2573"/>
      <c r="E262" s="2573"/>
      <c r="F262" s="2574"/>
      <c r="G262" s="2573" t="s">
        <v>638</v>
      </c>
      <c r="H262" s="2573">
        <v>0</v>
      </c>
      <c r="I262" s="2573">
        <v>0</v>
      </c>
      <c r="J262" s="2573">
        <v>0</v>
      </c>
      <c r="K262" s="2573">
        <v>0</v>
      </c>
      <c r="L262" s="2573">
        <v>0</v>
      </c>
      <c r="M262" s="3127">
        <v>0</v>
      </c>
      <c r="N262" s="2563">
        <v>0</v>
      </c>
      <c r="O262" s="2563">
        <f>+[4]Kanalizace!$B$23</f>
        <v>0</v>
      </c>
      <c r="P262" s="2638">
        <f t="shared" si="9"/>
        <v>0</v>
      </c>
      <c r="Q262" s="2679"/>
      <c r="R262" s="2632"/>
      <c r="S262" s="2680"/>
      <c r="T262" s="2680"/>
      <c r="U262" s="2563"/>
      <c r="V262" s="2487"/>
      <c r="W262" s="2530"/>
    </row>
    <row r="263" spans="1:23" s="2571" customFormat="1" ht="12" hidden="1" customHeight="1" outlineLevel="1">
      <c r="A263" s="2564"/>
      <c r="B263" s="2559" t="s">
        <v>155</v>
      </c>
      <c r="C263" s="2572" t="s">
        <v>1658</v>
      </c>
      <c r="D263" s="2573"/>
      <c r="E263" s="2573"/>
      <c r="F263" s="2574"/>
      <c r="G263" s="2573" t="s">
        <v>638</v>
      </c>
      <c r="H263" s="2573">
        <v>0</v>
      </c>
      <c r="I263" s="2573">
        <v>0</v>
      </c>
      <c r="J263" s="2573">
        <v>0</v>
      </c>
      <c r="K263" s="2573">
        <v>0</v>
      </c>
      <c r="L263" s="2573">
        <v>0</v>
      </c>
      <c r="M263" s="3127">
        <v>0</v>
      </c>
      <c r="N263" s="2563">
        <v>0</v>
      </c>
      <c r="O263" s="2563">
        <f>+[4]Kanalizace!$B$24</f>
        <v>0</v>
      </c>
      <c r="P263" s="2638">
        <f t="shared" si="9"/>
        <v>0</v>
      </c>
      <c r="Q263" s="2679"/>
      <c r="R263" s="2632"/>
      <c r="S263" s="2680"/>
      <c r="T263" s="2680"/>
      <c r="U263" s="2563"/>
      <c r="V263" s="2487"/>
      <c r="W263" s="2530"/>
    </row>
    <row r="264" spans="1:23" s="2571" customFormat="1" ht="12" hidden="1" customHeight="1" outlineLevel="1">
      <c r="A264" s="2564"/>
      <c r="B264" s="2559" t="s">
        <v>155</v>
      </c>
      <c r="C264" s="2572" t="s">
        <v>1659</v>
      </c>
      <c r="D264" s="2573"/>
      <c r="E264" s="2573"/>
      <c r="F264" s="2574"/>
      <c r="G264" s="2573" t="s">
        <v>638</v>
      </c>
      <c r="H264" s="2573">
        <v>0</v>
      </c>
      <c r="I264" s="2573">
        <v>0</v>
      </c>
      <c r="J264" s="2573">
        <v>0</v>
      </c>
      <c r="K264" s="2573">
        <v>0</v>
      </c>
      <c r="L264" s="2573">
        <v>0</v>
      </c>
      <c r="M264" s="3127">
        <v>0</v>
      </c>
      <c r="N264" s="2563">
        <v>0</v>
      </c>
      <c r="O264" s="2563">
        <f>+[4]Kanalizace!$B$25</f>
        <v>0</v>
      </c>
      <c r="P264" s="2638">
        <f t="shared" ref="P264:P325" si="10">+O264-N264</f>
        <v>0</v>
      </c>
      <c r="Q264" s="2679"/>
      <c r="R264" s="2632"/>
      <c r="S264" s="2680"/>
      <c r="T264" s="2680"/>
      <c r="U264" s="2563"/>
      <c r="V264" s="2487"/>
      <c r="W264" s="2530"/>
    </row>
    <row r="265" spans="1:23" s="2571" customFormat="1" ht="12" hidden="1" customHeight="1" outlineLevel="1">
      <c r="A265" s="2564"/>
      <c r="B265" s="2559" t="s">
        <v>155</v>
      </c>
      <c r="C265" s="2572" t="s">
        <v>1660</v>
      </c>
      <c r="D265" s="2573"/>
      <c r="E265" s="2573"/>
      <c r="F265" s="2574"/>
      <c r="G265" s="2573" t="s">
        <v>638</v>
      </c>
      <c r="H265" s="2573">
        <v>0</v>
      </c>
      <c r="I265" s="2573">
        <v>0</v>
      </c>
      <c r="J265" s="2573">
        <v>0</v>
      </c>
      <c r="K265" s="2573">
        <v>0</v>
      </c>
      <c r="L265" s="2573">
        <v>0</v>
      </c>
      <c r="M265" s="3127">
        <v>0</v>
      </c>
      <c r="N265" s="2563">
        <v>0</v>
      </c>
      <c r="O265" s="2563">
        <f>+[4]Kanalizace!$B$29</f>
        <v>0</v>
      </c>
      <c r="P265" s="2638">
        <f t="shared" si="10"/>
        <v>0</v>
      </c>
      <c r="Q265" s="2679"/>
      <c r="R265" s="2632"/>
      <c r="S265" s="2680"/>
      <c r="T265" s="2680"/>
      <c r="U265" s="2563"/>
      <c r="V265" s="2487"/>
      <c r="W265" s="2530"/>
    </row>
    <row r="266" spans="1:23" s="2571" customFormat="1" ht="12" hidden="1" customHeight="1" outlineLevel="1">
      <c r="A266" s="2564"/>
      <c r="B266" s="2559" t="s">
        <v>155</v>
      </c>
      <c r="C266" s="2681" t="s">
        <v>1661</v>
      </c>
      <c r="D266" s="2682"/>
      <c r="E266" s="2682"/>
      <c r="F266" s="2683"/>
      <c r="G266" s="2682" t="s">
        <v>638</v>
      </c>
      <c r="H266" s="2682">
        <v>0</v>
      </c>
      <c r="I266" s="2682">
        <v>0</v>
      </c>
      <c r="J266" s="2682">
        <v>0</v>
      </c>
      <c r="K266" s="2682">
        <v>0</v>
      </c>
      <c r="L266" s="2682">
        <v>0</v>
      </c>
      <c r="M266" s="3136">
        <v>0</v>
      </c>
      <c r="N266" s="2579">
        <v>0</v>
      </c>
      <c r="O266" s="2579">
        <f>+[4]Kanalizace!$B$30</f>
        <v>0</v>
      </c>
      <c r="P266" s="2674">
        <f t="shared" si="10"/>
        <v>0</v>
      </c>
      <c r="Q266" s="2684"/>
      <c r="R266" s="2685"/>
      <c r="S266" s="2686"/>
      <c r="T266" s="2686"/>
      <c r="U266" s="2579"/>
      <c r="V266" s="2487"/>
      <c r="W266" s="2530"/>
    </row>
    <row r="267" spans="1:23" s="2571" customFormat="1" ht="12" hidden="1" customHeight="1" outlineLevel="1">
      <c r="A267" s="2564"/>
      <c r="B267" s="2559" t="s">
        <v>155</v>
      </c>
      <c r="C267" s="2681" t="s">
        <v>2828</v>
      </c>
      <c r="D267" s="2682"/>
      <c r="E267" s="2682"/>
      <c r="F267" s="2683"/>
      <c r="G267" s="2682" t="s">
        <v>638</v>
      </c>
      <c r="H267" s="2682">
        <v>0</v>
      </c>
      <c r="I267" s="2682">
        <v>0</v>
      </c>
      <c r="J267" s="2682">
        <v>0</v>
      </c>
      <c r="K267" s="2682">
        <v>0</v>
      </c>
      <c r="L267" s="2682">
        <v>0</v>
      </c>
      <c r="M267" s="3136">
        <v>0</v>
      </c>
      <c r="N267" s="2579">
        <v>0</v>
      </c>
      <c r="O267" s="2579">
        <f>+[4]Kanalizace!$B$41</f>
        <v>0</v>
      </c>
      <c r="P267" s="2674">
        <f t="shared" si="10"/>
        <v>0</v>
      </c>
      <c r="Q267" s="2684"/>
      <c r="R267" s="2685"/>
      <c r="S267" s="2686"/>
      <c r="T267" s="2686"/>
      <c r="U267" s="2579"/>
      <c r="V267" s="2487"/>
      <c r="W267" s="2530"/>
    </row>
    <row r="268" spans="1:23" s="2571" customFormat="1" ht="12" hidden="1" customHeight="1" outlineLevel="1">
      <c r="A268" s="2564"/>
      <c r="B268" s="2559" t="s">
        <v>155</v>
      </c>
      <c r="C268" s="2681" t="s">
        <v>1662</v>
      </c>
      <c r="D268" s="2682"/>
      <c r="E268" s="2682"/>
      <c r="F268" s="2683"/>
      <c r="G268" s="2682" t="s">
        <v>638</v>
      </c>
      <c r="H268" s="2682">
        <v>0</v>
      </c>
      <c r="I268" s="2682">
        <v>0</v>
      </c>
      <c r="J268" s="2682">
        <v>0</v>
      </c>
      <c r="K268" s="2682">
        <v>0</v>
      </c>
      <c r="L268" s="2682">
        <v>0</v>
      </c>
      <c r="M268" s="3136">
        <v>0</v>
      </c>
      <c r="N268" s="2579">
        <v>0</v>
      </c>
      <c r="O268" s="2579">
        <f>+[4]Kanalizace!$B$42</f>
        <v>0</v>
      </c>
      <c r="P268" s="2674">
        <f t="shared" si="10"/>
        <v>0</v>
      </c>
      <c r="Q268" s="2684"/>
      <c r="R268" s="2685"/>
      <c r="S268" s="2686"/>
      <c r="T268" s="2686"/>
      <c r="U268" s="2579"/>
      <c r="V268" s="2487"/>
      <c r="W268" s="2530"/>
    </row>
    <row r="269" spans="1:23" s="2571" customFormat="1" ht="12" customHeight="1" outlineLevel="1">
      <c r="A269" s="2564"/>
      <c r="B269" s="2618" t="s">
        <v>155</v>
      </c>
      <c r="C269" s="2648" t="s">
        <v>1663</v>
      </c>
      <c r="D269" s="2649"/>
      <c r="E269" s="2649"/>
      <c r="F269" s="2650"/>
      <c r="G269" s="2649" t="s">
        <v>4</v>
      </c>
      <c r="H269" s="2649">
        <v>24999000</v>
      </c>
      <c r="I269" s="2649">
        <v>24999000</v>
      </c>
      <c r="J269" s="2649">
        <v>24999000</v>
      </c>
      <c r="K269" s="2649">
        <v>24999000</v>
      </c>
      <c r="L269" s="2649">
        <v>14000000</v>
      </c>
      <c r="M269" s="3140">
        <v>14000000</v>
      </c>
      <c r="N269" s="2651">
        <v>5900000</v>
      </c>
      <c r="O269" s="2651">
        <f>+[4]Kanalizace!$C$53</f>
        <v>5900000</v>
      </c>
      <c r="P269" s="2652">
        <f t="shared" si="10"/>
        <v>0</v>
      </c>
      <c r="Q269" s="2653"/>
      <c r="R269" s="2654">
        <f>+[4]Kanalizace!$C$60</f>
        <v>5900000</v>
      </c>
      <c r="S269" s="2655"/>
      <c r="T269" s="2655"/>
      <c r="U269" s="2651"/>
      <c r="V269" s="2487"/>
      <c r="W269" s="2530"/>
    </row>
    <row r="270" spans="1:23" s="2571" customFormat="1" ht="12" customHeight="1" outlineLevel="1">
      <c r="A270" s="2564"/>
      <c r="B270" s="2559" t="s">
        <v>155</v>
      </c>
      <c r="C270" s="2681" t="s">
        <v>1663</v>
      </c>
      <c r="D270" s="2682"/>
      <c r="E270" s="2682"/>
      <c r="F270" s="2683"/>
      <c r="G270" s="2682" t="s">
        <v>638</v>
      </c>
      <c r="H270" s="2682">
        <v>38315200</v>
      </c>
      <c r="I270" s="2682">
        <v>48315200</v>
      </c>
      <c r="J270" s="2682">
        <v>48315200</v>
      </c>
      <c r="K270" s="2682">
        <v>48315200</v>
      </c>
      <c r="L270" s="2682">
        <v>20145200</v>
      </c>
      <c r="M270" s="3136">
        <v>20145200</v>
      </c>
      <c r="N270" s="2579">
        <v>13643238</v>
      </c>
      <c r="O270" s="2579">
        <f>+[4]Kanalizace!$D$53</f>
        <v>16850000</v>
      </c>
      <c r="P270" s="2674">
        <f t="shared" si="10"/>
        <v>3206762</v>
      </c>
      <c r="Q270" s="2684">
        <f>+O270</f>
        <v>16850000</v>
      </c>
      <c r="R270" s="2685"/>
      <c r="S270" s="2686"/>
      <c r="T270" s="2686"/>
      <c r="U270" s="2579"/>
      <c r="V270" s="2487"/>
      <c r="W270" s="2530"/>
    </row>
    <row r="271" spans="1:23" s="2571" customFormat="1" ht="12" hidden="1" customHeight="1" outlineLevel="1">
      <c r="A271" s="2564"/>
      <c r="B271" s="2559" t="s">
        <v>155</v>
      </c>
      <c r="C271" s="2681" t="s">
        <v>1664</v>
      </c>
      <c r="D271" s="2682"/>
      <c r="E271" s="2682"/>
      <c r="F271" s="2683"/>
      <c r="G271" s="2682" t="s">
        <v>638</v>
      </c>
      <c r="H271" s="2682">
        <v>0</v>
      </c>
      <c r="I271" s="2682">
        <v>0</v>
      </c>
      <c r="J271" s="2682">
        <v>0</v>
      </c>
      <c r="K271" s="2682">
        <v>0</v>
      </c>
      <c r="L271" s="2682">
        <v>0</v>
      </c>
      <c r="M271" s="3136">
        <v>0</v>
      </c>
      <c r="N271" s="2579">
        <v>0</v>
      </c>
      <c r="O271" s="2579">
        <f>+[4]Kanalizace!$B$54</f>
        <v>0</v>
      </c>
      <c r="P271" s="2674">
        <f t="shared" si="10"/>
        <v>0</v>
      </c>
      <c r="Q271" s="2684"/>
      <c r="R271" s="2685"/>
      <c r="S271" s="2686"/>
      <c r="T271" s="2686"/>
      <c r="U271" s="2579"/>
      <c r="V271" s="2487"/>
      <c r="W271" s="2530"/>
    </row>
    <row r="272" spans="1:23" s="2571" customFormat="1" ht="12" hidden="1" customHeight="1" outlineLevel="1">
      <c r="A272" s="2564"/>
      <c r="B272" s="2559" t="s">
        <v>155</v>
      </c>
      <c r="C272" s="2681" t="s">
        <v>1665</v>
      </c>
      <c r="D272" s="2682"/>
      <c r="E272" s="2682"/>
      <c r="F272" s="2683"/>
      <c r="G272" s="2682" t="s">
        <v>638</v>
      </c>
      <c r="H272" s="2682">
        <v>0</v>
      </c>
      <c r="I272" s="2682">
        <v>0</v>
      </c>
      <c r="J272" s="2682">
        <v>0</v>
      </c>
      <c r="K272" s="2682">
        <v>0</v>
      </c>
      <c r="L272" s="2682">
        <v>0</v>
      </c>
      <c r="M272" s="3136">
        <v>0</v>
      </c>
      <c r="N272" s="2579">
        <v>0</v>
      </c>
      <c r="O272" s="2579">
        <f>+[4]Kanalizace!$B$67</f>
        <v>0</v>
      </c>
      <c r="P272" s="2674">
        <f t="shared" si="10"/>
        <v>0</v>
      </c>
      <c r="Q272" s="2684"/>
      <c r="R272" s="2685"/>
      <c r="S272" s="2686"/>
      <c r="T272" s="2686"/>
      <c r="U272" s="2579"/>
      <c r="V272" s="2487"/>
      <c r="W272" s="2530"/>
    </row>
    <row r="273" spans="1:23" s="2571" customFormat="1" ht="12" hidden="1" customHeight="1" outlineLevel="1">
      <c r="A273" s="2564"/>
      <c r="B273" s="2559" t="s">
        <v>155</v>
      </c>
      <c r="C273" s="2681" t="s">
        <v>1666</v>
      </c>
      <c r="D273" s="2682"/>
      <c r="E273" s="2682"/>
      <c r="F273" s="2683"/>
      <c r="G273" s="2682" t="s">
        <v>638</v>
      </c>
      <c r="H273" s="2682">
        <v>0</v>
      </c>
      <c r="I273" s="2682">
        <v>0</v>
      </c>
      <c r="J273" s="2682">
        <v>0</v>
      </c>
      <c r="K273" s="2682">
        <v>0</v>
      </c>
      <c r="L273" s="2682">
        <v>0</v>
      </c>
      <c r="M273" s="3136">
        <v>0</v>
      </c>
      <c r="N273" s="2579">
        <v>0</v>
      </c>
      <c r="O273" s="2579">
        <f>+[4]Kanalizace!$B$68</f>
        <v>0</v>
      </c>
      <c r="P273" s="2674">
        <f t="shared" si="10"/>
        <v>0</v>
      </c>
      <c r="Q273" s="2684"/>
      <c r="R273" s="2685"/>
      <c r="S273" s="2686"/>
      <c r="T273" s="2686"/>
      <c r="U273" s="2579"/>
      <c r="V273" s="2487"/>
      <c r="W273" s="2530"/>
    </row>
    <row r="274" spans="1:23" s="2571" customFormat="1" ht="12" hidden="1" customHeight="1" outlineLevel="1">
      <c r="A274" s="2564"/>
      <c r="B274" s="2559" t="s">
        <v>155</v>
      </c>
      <c r="C274" s="2681" t="s">
        <v>2177</v>
      </c>
      <c r="D274" s="2682"/>
      <c r="E274" s="2682"/>
      <c r="F274" s="2683"/>
      <c r="G274" s="2682" t="s">
        <v>638</v>
      </c>
      <c r="H274" s="2682">
        <v>0</v>
      </c>
      <c r="I274" s="2682">
        <v>0</v>
      </c>
      <c r="J274" s="2682">
        <v>0</v>
      </c>
      <c r="K274" s="2682">
        <v>0</v>
      </c>
      <c r="L274" s="2682">
        <v>0</v>
      </c>
      <c r="M274" s="3136">
        <v>0</v>
      </c>
      <c r="N274" s="2579">
        <v>0</v>
      </c>
      <c r="O274" s="2579">
        <f>+[4]Kanalizace!$B$79</f>
        <v>0</v>
      </c>
      <c r="P274" s="2674">
        <f t="shared" si="10"/>
        <v>0</v>
      </c>
      <c r="Q274" s="2684"/>
      <c r="R274" s="2685"/>
      <c r="S274" s="2686"/>
      <c r="T274" s="2686"/>
      <c r="U274" s="2579"/>
      <c r="V274" s="2487"/>
      <c r="W274" s="2530"/>
    </row>
    <row r="275" spans="1:23" s="2571" customFormat="1" ht="12" customHeight="1" outlineLevel="1">
      <c r="A275" s="2564"/>
      <c r="B275" s="2559" t="s">
        <v>155</v>
      </c>
      <c r="C275" s="2681" t="s">
        <v>2178</v>
      </c>
      <c r="D275" s="2682"/>
      <c r="E275" s="2682"/>
      <c r="F275" s="2683"/>
      <c r="G275" s="2682" t="s">
        <v>638</v>
      </c>
      <c r="H275" s="2682">
        <v>1500000</v>
      </c>
      <c r="I275" s="2682">
        <v>1500000</v>
      </c>
      <c r="J275" s="2682">
        <v>1500000</v>
      </c>
      <c r="K275" s="2682">
        <v>1500000</v>
      </c>
      <c r="L275" s="2682">
        <v>1500000</v>
      </c>
      <c r="M275" s="3136">
        <v>1500000</v>
      </c>
      <c r="N275" s="2579">
        <v>0</v>
      </c>
      <c r="O275" s="2579">
        <f>+[4]Kanalizace!$B$80</f>
        <v>0</v>
      </c>
      <c r="P275" s="2674">
        <f t="shared" si="10"/>
        <v>0</v>
      </c>
      <c r="Q275" s="2684"/>
      <c r="R275" s="2685"/>
      <c r="S275" s="2686"/>
      <c r="T275" s="2686"/>
      <c r="U275" s="2579"/>
      <c r="V275" s="2487"/>
      <c r="W275" s="2530"/>
    </row>
    <row r="276" spans="1:23" s="2571" customFormat="1" ht="12" customHeight="1" outlineLevel="1" thickBot="1">
      <c r="A276" s="2624" t="s">
        <v>179</v>
      </c>
      <c r="B276" s="2585" t="s">
        <v>155</v>
      </c>
      <c r="C276" s="2594"/>
      <c r="D276" s="2586"/>
      <c r="E276" s="2586"/>
      <c r="F276" s="2595"/>
      <c r="G276" s="2586" t="s">
        <v>638</v>
      </c>
      <c r="H276" s="2586"/>
      <c r="I276" s="2586"/>
      <c r="J276" s="2586"/>
      <c r="K276" s="2586"/>
      <c r="L276" s="2586"/>
      <c r="M276" s="3129"/>
      <c r="N276" s="2537"/>
      <c r="O276" s="2537"/>
      <c r="P276" s="2538">
        <f t="shared" si="10"/>
        <v>0</v>
      </c>
      <c r="Q276" s="2687"/>
      <c r="R276" s="2688"/>
      <c r="S276" s="2689"/>
      <c r="T276" s="2689"/>
      <c r="U276" s="2537"/>
      <c r="V276" s="2487"/>
      <c r="W276" s="2530"/>
    </row>
    <row r="277" spans="1:23" s="2571" customFormat="1" ht="13.9" thickBot="1">
      <c r="A277" s="3276" t="s">
        <v>632</v>
      </c>
      <c r="B277" s="3277"/>
      <c r="C277" s="2523"/>
      <c r="D277" s="2524"/>
      <c r="E277" s="2524"/>
      <c r="F277" s="2525"/>
      <c r="G277" s="2524"/>
      <c r="H277" s="2524">
        <v>64864200</v>
      </c>
      <c r="I277" s="2524">
        <v>74864200</v>
      </c>
      <c r="J277" s="2524">
        <v>74864200</v>
      </c>
      <c r="K277" s="2524">
        <v>74864200</v>
      </c>
      <c r="L277" s="2524">
        <v>35695200</v>
      </c>
      <c r="M277" s="3123">
        <v>35695200</v>
      </c>
      <c r="N277" s="2526">
        <v>19593238</v>
      </c>
      <c r="O277" s="2526">
        <f>SUM(O260:O276)</f>
        <v>22800000</v>
      </c>
      <c r="P277" s="2527">
        <f t="shared" si="10"/>
        <v>3206762</v>
      </c>
      <c r="Q277" s="2528"/>
      <c r="R277" s="2528">
        <f>SUM(R260:R265)</f>
        <v>0</v>
      </c>
      <c r="S277" s="2528"/>
      <c r="T277" s="2528"/>
      <c r="U277" s="2528"/>
      <c r="V277" s="2529">
        <f>'Výdaje kapitol celkem'!CT72</f>
        <v>22800000</v>
      </c>
      <c r="W277" s="2530">
        <f>+V277-O277</f>
        <v>0</v>
      </c>
    </row>
    <row r="278" spans="1:23" s="2571" customFormat="1" ht="12" hidden="1" customHeight="1" outlineLevel="1">
      <c r="A278" s="2532"/>
      <c r="B278" s="2643" t="s">
        <v>154</v>
      </c>
      <c r="C278" s="2643"/>
      <c r="D278" s="2605"/>
      <c r="E278" s="2605"/>
      <c r="F278" s="2678"/>
      <c r="G278" s="2605" t="s">
        <v>638</v>
      </c>
      <c r="H278" s="2605">
        <v>0</v>
      </c>
      <c r="I278" s="2605">
        <v>0</v>
      </c>
      <c r="J278" s="2605">
        <v>0</v>
      </c>
      <c r="K278" s="2605">
        <v>0</v>
      </c>
      <c r="L278" s="2605">
        <v>0</v>
      </c>
      <c r="M278" s="3146">
        <v>0</v>
      </c>
      <c r="N278" s="2510">
        <v>0</v>
      </c>
      <c r="O278" s="2510">
        <f>+[4]Vodovod!$B$4</f>
        <v>0</v>
      </c>
      <c r="P278" s="2511">
        <f t="shared" si="10"/>
        <v>0</v>
      </c>
      <c r="Q278" s="2512"/>
      <c r="R278" s="2513"/>
      <c r="S278" s="2514"/>
      <c r="T278" s="2514"/>
      <c r="U278" s="2510"/>
      <c r="V278" s="2487"/>
      <c r="W278" s="2530"/>
    </row>
    <row r="279" spans="1:23" s="2571" customFormat="1" ht="12" hidden="1" customHeight="1" outlineLevel="1">
      <c r="A279" s="2532"/>
      <c r="B279" s="2572" t="s">
        <v>154</v>
      </c>
      <c r="C279" s="2572"/>
      <c r="D279" s="2573"/>
      <c r="E279" s="2573"/>
      <c r="F279" s="2574"/>
      <c r="G279" s="2573" t="s">
        <v>638</v>
      </c>
      <c r="H279" s="2573">
        <v>0</v>
      </c>
      <c r="I279" s="2573">
        <v>0</v>
      </c>
      <c r="J279" s="2573">
        <v>0</v>
      </c>
      <c r="K279" s="2573">
        <v>0</v>
      </c>
      <c r="L279" s="2573">
        <v>0</v>
      </c>
      <c r="M279" s="3127">
        <v>0</v>
      </c>
      <c r="N279" s="2563">
        <v>0</v>
      </c>
      <c r="O279" s="2563">
        <f>+[4]Vodovod!$B$5</f>
        <v>0</v>
      </c>
      <c r="P279" s="2638">
        <f t="shared" si="10"/>
        <v>0</v>
      </c>
      <c r="Q279" s="2679"/>
      <c r="R279" s="2632"/>
      <c r="S279" s="2680"/>
      <c r="T279" s="2680"/>
      <c r="U279" s="2563"/>
      <c r="V279" s="2487"/>
      <c r="W279" s="2530"/>
    </row>
    <row r="280" spans="1:23" s="2571" customFormat="1" ht="16.5" hidden="1" customHeight="1" outlineLevel="1" thickBot="1">
      <c r="A280" s="2533">
        <v>2310</v>
      </c>
      <c r="B280" s="2585" t="s">
        <v>154</v>
      </c>
      <c r="C280" s="2585"/>
      <c r="D280" s="2581"/>
      <c r="E280" s="2581"/>
      <c r="F280" s="2582"/>
      <c r="G280" s="2581" t="s">
        <v>638</v>
      </c>
      <c r="H280" s="2581"/>
      <c r="I280" s="2581"/>
      <c r="J280" s="2581"/>
      <c r="K280" s="2581"/>
      <c r="L280" s="2581"/>
      <c r="M280" s="3128"/>
      <c r="N280" s="2636"/>
      <c r="O280" s="2636"/>
      <c r="P280" s="2558">
        <f t="shared" si="10"/>
        <v>0</v>
      </c>
      <c r="Q280" s="2690"/>
      <c r="R280" s="2636"/>
      <c r="S280" s="2691"/>
      <c r="T280" s="2691"/>
      <c r="U280" s="2557"/>
      <c r="V280" s="2487"/>
      <c r="W280" s="2530"/>
    </row>
    <row r="281" spans="1:23" s="2571" customFormat="1" ht="13.9" collapsed="1" thickBot="1">
      <c r="A281" s="3276" t="s">
        <v>644</v>
      </c>
      <c r="B281" s="3277"/>
      <c r="C281" s="2523"/>
      <c r="D281" s="2524"/>
      <c r="E281" s="2524"/>
      <c r="F281" s="2525"/>
      <c r="G281" s="2524"/>
      <c r="H281" s="2524">
        <v>0</v>
      </c>
      <c r="I281" s="2524">
        <v>0</v>
      </c>
      <c r="J281" s="2524">
        <v>0</v>
      </c>
      <c r="K281" s="2524">
        <v>0</v>
      </c>
      <c r="L281" s="2524">
        <v>0</v>
      </c>
      <c r="M281" s="3123">
        <v>0</v>
      </c>
      <c r="N281" s="2526">
        <v>0</v>
      </c>
      <c r="O281" s="2526">
        <f>SUM(O278:O280)</f>
        <v>0</v>
      </c>
      <c r="P281" s="2527">
        <f t="shared" si="10"/>
        <v>0</v>
      </c>
      <c r="Q281" s="2528"/>
      <c r="R281" s="2528">
        <f>+R278+R280</f>
        <v>0</v>
      </c>
      <c r="S281" s="2528"/>
      <c r="T281" s="2528"/>
      <c r="U281" s="2528"/>
      <c r="V281" s="2529">
        <f>'Výdaje kapitol celkem'!CN72</f>
        <v>0</v>
      </c>
      <c r="W281" s="2530">
        <f>+V281-O281</f>
        <v>0</v>
      </c>
    </row>
    <row r="282" spans="1:23" s="2571" customFormat="1" ht="12" customHeight="1" outlineLevel="1">
      <c r="A282" s="2564"/>
      <c r="B282" s="2506" t="s">
        <v>151</v>
      </c>
      <c r="C282" s="2643" t="s">
        <v>2392</v>
      </c>
      <c r="D282" s="2605"/>
      <c r="E282" s="2605"/>
      <c r="F282" s="2678"/>
      <c r="G282" s="2573" t="s">
        <v>638</v>
      </c>
      <c r="H282" s="2566">
        <v>250000</v>
      </c>
      <c r="I282" s="2566">
        <v>250000</v>
      </c>
      <c r="J282" s="2566">
        <v>250000</v>
      </c>
      <c r="K282" s="2566">
        <v>250000</v>
      </c>
      <c r="L282" s="2566">
        <v>250000</v>
      </c>
      <c r="M282" s="3126">
        <v>250000</v>
      </c>
      <c r="N282" s="2510">
        <v>250000</v>
      </c>
      <c r="O282" s="2510">
        <f>+'[5]Územní plán 3635'!$B$31</f>
        <v>150000</v>
      </c>
      <c r="P282" s="2511">
        <f t="shared" si="10"/>
        <v>-100000</v>
      </c>
      <c r="Q282" s="2512"/>
      <c r="R282" s="2513"/>
      <c r="S282" s="2514"/>
      <c r="T282" s="2514"/>
      <c r="U282" s="2510"/>
      <c r="V282" s="2487"/>
      <c r="W282" s="2530"/>
    </row>
    <row r="283" spans="1:23" s="2571" customFormat="1" ht="12" customHeight="1" outlineLevel="1" thickBot="1">
      <c r="A283" s="2533">
        <v>3635</v>
      </c>
      <c r="B283" s="2559" t="s">
        <v>151</v>
      </c>
      <c r="C283" s="2572" t="s">
        <v>2393</v>
      </c>
      <c r="D283" s="2573"/>
      <c r="E283" s="2573"/>
      <c r="F283" s="2574"/>
      <c r="G283" s="2573" t="s">
        <v>638</v>
      </c>
      <c r="H283" s="2573">
        <v>250000</v>
      </c>
      <c r="I283" s="2573">
        <v>250000</v>
      </c>
      <c r="J283" s="2573">
        <v>339056</v>
      </c>
      <c r="K283" s="2573">
        <v>339056</v>
      </c>
      <c r="L283" s="2573">
        <v>339056</v>
      </c>
      <c r="M283" s="3127">
        <v>339056</v>
      </c>
      <c r="N283" s="2563">
        <v>339056</v>
      </c>
      <c r="O283" s="2563">
        <f>+'[5]Územní plán 3635'!$B$32</f>
        <v>140000</v>
      </c>
      <c r="P283" s="2638">
        <f t="shared" si="10"/>
        <v>-199056</v>
      </c>
      <c r="Q283" s="2679"/>
      <c r="R283" s="2632"/>
      <c r="S283" s="2680"/>
      <c r="T283" s="2680"/>
      <c r="U283" s="2563"/>
      <c r="V283" s="2487"/>
      <c r="W283" s="2530"/>
    </row>
    <row r="284" spans="1:23" s="2571" customFormat="1" ht="13.9" thickBot="1">
      <c r="A284" s="3276" t="s">
        <v>1182</v>
      </c>
      <c r="B284" s="3277"/>
      <c r="C284" s="2523" t="s">
        <v>106</v>
      </c>
      <c r="D284" s="2524"/>
      <c r="E284" s="2524"/>
      <c r="F284" s="2525"/>
      <c r="G284" s="2524" t="s">
        <v>638</v>
      </c>
      <c r="H284" s="2524">
        <v>500000</v>
      </c>
      <c r="I284" s="2524">
        <v>500000</v>
      </c>
      <c r="J284" s="2524">
        <v>589056</v>
      </c>
      <c r="K284" s="2524">
        <v>589056</v>
      </c>
      <c r="L284" s="2524">
        <v>589056</v>
      </c>
      <c r="M284" s="3123">
        <v>589056</v>
      </c>
      <c r="N284" s="2526">
        <v>589056</v>
      </c>
      <c r="O284" s="2526">
        <f>SUM(O282:O283)</f>
        <v>290000</v>
      </c>
      <c r="P284" s="3064">
        <f t="shared" si="10"/>
        <v>-299056</v>
      </c>
      <c r="Q284" s="2523"/>
      <c r="R284" s="2523">
        <v>0</v>
      </c>
      <c r="S284" s="2523"/>
      <c r="T284" s="2523"/>
      <c r="U284" s="2523"/>
      <c r="V284" s="2529">
        <f>'Výdaje kapitol celkem'!CF72</f>
        <v>290000</v>
      </c>
      <c r="W284" s="2530">
        <f>+V284-O284</f>
        <v>0</v>
      </c>
    </row>
    <row r="285" spans="1:23" s="2571" customFormat="1" ht="12" hidden="1" customHeight="1" outlineLevel="1">
      <c r="A285" s="2564"/>
      <c r="B285" s="2643" t="s">
        <v>161</v>
      </c>
      <c r="C285" s="2643"/>
      <c r="D285" s="2605"/>
      <c r="E285" s="2605"/>
      <c r="F285" s="2678"/>
      <c r="G285" s="2605" t="s">
        <v>638</v>
      </c>
      <c r="H285" s="2605"/>
      <c r="I285" s="2605"/>
      <c r="J285" s="2605"/>
      <c r="K285" s="2605"/>
      <c r="L285" s="2605"/>
      <c r="M285" s="3146"/>
      <c r="N285" s="2510"/>
      <c r="O285" s="2510"/>
      <c r="P285" s="2511">
        <f t="shared" si="10"/>
        <v>0</v>
      </c>
      <c r="Q285" s="2512"/>
      <c r="R285" s="2513"/>
      <c r="S285" s="2514"/>
      <c r="T285" s="2514"/>
      <c r="U285" s="2510"/>
      <c r="V285" s="2487"/>
      <c r="W285" s="2530"/>
    </row>
    <row r="286" spans="1:23" s="2571" customFormat="1" ht="13.9" hidden="1" outlineLevel="1" thickBot="1">
      <c r="A286" s="2533">
        <v>3330</v>
      </c>
      <c r="B286" s="2585" t="s">
        <v>161</v>
      </c>
      <c r="C286" s="2585"/>
      <c r="D286" s="2581"/>
      <c r="E286" s="2581"/>
      <c r="F286" s="2582"/>
      <c r="G286" s="2581" t="s">
        <v>638</v>
      </c>
      <c r="H286" s="2581"/>
      <c r="I286" s="2581"/>
      <c r="J286" s="2581"/>
      <c r="K286" s="2581"/>
      <c r="L286" s="2581"/>
      <c r="M286" s="3128"/>
      <c r="N286" s="2557"/>
      <c r="O286" s="2557"/>
      <c r="P286" s="2558">
        <f t="shared" si="10"/>
        <v>0</v>
      </c>
      <c r="Q286" s="2690"/>
      <c r="R286" s="2636"/>
      <c r="S286" s="2691"/>
      <c r="T286" s="2691"/>
      <c r="U286" s="2692"/>
      <c r="V286" s="2487"/>
      <c r="W286" s="2530"/>
    </row>
    <row r="287" spans="1:23" s="2571" customFormat="1" ht="13.9" collapsed="1" thickBot="1">
      <c r="A287" s="3276" t="s">
        <v>633</v>
      </c>
      <c r="B287" s="3277"/>
      <c r="C287" s="2523"/>
      <c r="D287" s="2524"/>
      <c r="E287" s="2524"/>
      <c r="F287" s="2525"/>
      <c r="G287" s="2524"/>
      <c r="H287" s="2524">
        <v>0</v>
      </c>
      <c r="I287" s="2524">
        <v>0</v>
      </c>
      <c r="J287" s="2524">
        <v>0</v>
      </c>
      <c r="K287" s="2524">
        <v>0</v>
      </c>
      <c r="L287" s="2524">
        <v>0</v>
      </c>
      <c r="M287" s="3123">
        <v>0</v>
      </c>
      <c r="N287" s="2526">
        <v>0</v>
      </c>
      <c r="O287" s="2526">
        <f t="shared" ref="O287" si="11">SUM(O285:O286)</f>
        <v>0</v>
      </c>
      <c r="P287" s="3064">
        <f t="shared" si="10"/>
        <v>0</v>
      </c>
      <c r="Q287" s="2523"/>
      <c r="R287" s="2523">
        <f t="shared" ref="R287" si="12">SUM(R285:R286)</f>
        <v>0</v>
      </c>
      <c r="S287" s="2523"/>
      <c r="T287" s="2523"/>
      <c r="U287" s="2523"/>
      <c r="V287" s="2529">
        <f>'Výdaje kapitol celkem'!EB72</f>
        <v>0</v>
      </c>
      <c r="W287" s="2530">
        <f>+V287-O287</f>
        <v>0</v>
      </c>
    </row>
    <row r="288" spans="1:23" ht="15" hidden="1" customHeight="1" outlineLevel="1">
      <c r="A288" s="2564"/>
      <c r="B288" s="2559" t="s">
        <v>492</v>
      </c>
      <c r="C288" s="2664"/>
      <c r="D288" s="2665"/>
      <c r="E288" s="2665"/>
      <c r="F288" s="2666"/>
      <c r="G288" s="2605" t="s">
        <v>638</v>
      </c>
      <c r="H288" s="2566"/>
      <c r="I288" s="2566"/>
      <c r="J288" s="2566"/>
      <c r="K288" s="2566"/>
      <c r="L288" s="2566"/>
      <c r="M288" s="3126"/>
      <c r="N288" s="2563"/>
      <c r="O288" s="2563"/>
      <c r="P288" s="2638">
        <f t="shared" si="10"/>
        <v>0</v>
      </c>
      <c r="Q288" s="2679"/>
      <c r="R288" s="2632"/>
      <c r="S288" s="2680"/>
      <c r="T288" s="2680"/>
      <c r="U288" s="2563"/>
      <c r="V288" s="2487"/>
      <c r="W288" s="2530"/>
    </row>
    <row r="289" spans="1:23" s="2491" customFormat="1" ht="12" hidden="1" customHeight="1" outlineLevel="1" thickBot="1">
      <c r="A289" s="2533" t="s">
        <v>263</v>
      </c>
      <c r="B289" s="2585" t="s">
        <v>492</v>
      </c>
      <c r="C289" s="2585"/>
      <c r="D289" s="2581"/>
      <c r="E289" s="2581"/>
      <c r="F289" s="2582"/>
      <c r="G289" s="2581" t="s">
        <v>638</v>
      </c>
      <c r="H289" s="2581"/>
      <c r="I289" s="2581"/>
      <c r="J289" s="2581"/>
      <c r="K289" s="2581"/>
      <c r="L289" s="2581"/>
      <c r="M289" s="3128"/>
      <c r="N289" s="2557"/>
      <c r="O289" s="2557"/>
      <c r="P289" s="2558">
        <f t="shared" si="10"/>
        <v>0</v>
      </c>
      <c r="Q289" s="2690"/>
      <c r="R289" s="2636"/>
      <c r="S289" s="2691"/>
      <c r="T289" s="2691"/>
      <c r="U289" s="2557"/>
      <c r="V289" s="2487"/>
      <c r="W289" s="2530"/>
    </row>
    <row r="290" spans="1:23" s="2571" customFormat="1" ht="13.9" collapsed="1" thickBot="1">
      <c r="A290" s="3276" t="s">
        <v>1186</v>
      </c>
      <c r="B290" s="3277"/>
      <c r="C290" s="2523"/>
      <c r="D290" s="2524"/>
      <c r="E290" s="2524"/>
      <c r="F290" s="2525"/>
      <c r="G290" s="2524"/>
      <c r="H290" s="2524">
        <v>0</v>
      </c>
      <c r="I290" s="2524">
        <v>0</v>
      </c>
      <c r="J290" s="2524">
        <v>0</v>
      </c>
      <c r="K290" s="2524">
        <v>0</v>
      </c>
      <c r="L290" s="2524">
        <v>0</v>
      </c>
      <c r="M290" s="3123">
        <v>0</v>
      </c>
      <c r="N290" s="2526">
        <v>0</v>
      </c>
      <c r="O290" s="2526">
        <f>SUM(O288:O289)</f>
        <v>0</v>
      </c>
      <c r="P290" s="3064">
        <f t="shared" si="10"/>
        <v>0</v>
      </c>
      <c r="Q290" s="2523"/>
      <c r="R290" s="2523">
        <f t="shared" ref="R290" si="13">SUM(R288:R289)</f>
        <v>0</v>
      </c>
      <c r="S290" s="2523"/>
      <c r="T290" s="2523"/>
      <c r="U290" s="2523"/>
      <c r="V290" s="2529">
        <f>'Výdaje kapitol celkem'!DV72</f>
        <v>0</v>
      </c>
      <c r="W290" s="2530">
        <f>+V290-O290</f>
        <v>0</v>
      </c>
    </row>
    <row r="291" spans="1:23" s="2571" customFormat="1" ht="13.5" hidden="1" outlineLevel="1">
      <c r="A291" s="2532"/>
      <c r="B291" s="2643" t="s">
        <v>158</v>
      </c>
      <c r="C291" s="2643"/>
      <c r="D291" s="2605"/>
      <c r="E291" s="2605"/>
      <c r="F291" s="2678"/>
      <c r="G291" s="2605" t="s">
        <v>638</v>
      </c>
      <c r="H291" s="2605">
        <v>0</v>
      </c>
      <c r="I291" s="2605">
        <v>0</v>
      </c>
      <c r="J291" s="2605">
        <v>0</v>
      </c>
      <c r="K291" s="2605">
        <v>0</v>
      </c>
      <c r="L291" s="2605">
        <v>0</v>
      </c>
      <c r="M291" s="3146">
        <v>0</v>
      </c>
      <c r="N291" s="2510">
        <v>0</v>
      </c>
      <c r="O291" s="2510">
        <f>+'[5]Povodeň 3744'!$B$31</f>
        <v>0</v>
      </c>
      <c r="P291" s="2511">
        <f t="shared" si="10"/>
        <v>0</v>
      </c>
      <c r="Q291" s="2512"/>
      <c r="R291" s="2513"/>
      <c r="S291" s="2514"/>
      <c r="T291" s="2514"/>
      <c r="U291" s="2510"/>
      <c r="V291" s="2487"/>
      <c r="W291" s="2530"/>
    </row>
    <row r="292" spans="1:23" s="2571" customFormat="1" ht="13.9" hidden="1" outlineLevel="1" thickBot="1">
      <c r="A292" s="2533">
        <v>3744</v>
      </c>
      <c r="B292" s="2585" t="s">
        <v>158</v>
      </c>
      <c r="C292" s="2585"/>
      <c r="D292" s="2581"/>
      <c r="E292" s="2581"/>
      <c r="F292" s="2582"/>
      <c r="G292" s="2581" t="s">
        <v>638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3128">
        <v>0</v>
      </c>
      <c r="N292" s="2557">
        <v>0</v>
      </c>
      <c r="O292" s="2557">
        <f>+'[5]Povodeň 3744'!$B$32</f>
        <v>0</v>
      </c>
      <c r="P292" s="2558">
        <f t="shared" si="10"/>
        <v>0</v>
      </c>
      <c r="Q292" s="2690"/>
      <c r="R292" s="2636"/>
      <c r="S292" s="2691"/>
      <c r="T292" s="2691"/>
      <c r="U292" s="2557"/>
      <c r="V292" s="2487"/>
      <c r="W292" s="2530"/>
    </row>
    <row r="293" spans="1:23" s="2571" customFormat="1" ht="13.9" collapsed="1" thickBot="1">
      <c r="A293" s="3276" t="s">
        <v>1187</v>
      </c>
      <c r="B293" s="3277"/>
      <c r="C293" s="2523"/>
      <c r="D293" s="2524"/>
      <c r="E293" s="2524"/>
      <c r="F293" s="2525"/>
      <c r="G293" s="2524"/>
      <c r="H293" s="2524">
        <v>0</v>
      </c>
      <c r="I293" s="2524">
        <v>0</v>
      </c>
      <c r="J293" s="2524">
        <v>0</v>
      </c>
      <c r="K293" s="2524">
        <v>0</v>
      </c>
      <c r="L293" s="2524">
        <v>0</v>
      </c>
      <c r="M293" s="3123">
        <v>0</v>
      </c>
      <c r="N293" s="2526">
        <v>0</v>
      </c>
      <c r="O293" s="2526">
        <f>SUM(O291:O292)</f>
        <v>0</v>
      </c>
      <c r="P293" s="3064">
        <f t="shared" si="10"/>
        <v>0</v>
      </c>
      <c r="Q293" s="2523"/>
      <c r="R293" s="2523">
        <f t="shared" ref="R293" si="14">SUM(R291:R292)</f>
        <v>0</v>
      </c>
      <c r="S293" s="2523"/>
      <c r="T293" s="2523"/>
      <c r="U293" s="2523"/>
      <c r="V293" s="2529">
        <f>'Výdaje kapitol celkem'!DM72</f>
        <v>0</v>
      </c>
      <c r="W293" s="2530">
        <f>+V293-O293</f>
        <v>0</v>
      </c>
    </row>
    <row r="294" spans="1:23" ht="15" customHeight="1" outlineLevel="1">
      <c r="A294" s="2564"/>
      <c r="B294" s="2559" t="s">
        <v>297</v>
      </c>
      <c r="C294" s="2664" t="s">
        <v>2567</v>
      </c>
      <c r="D294" s="2665"/>
      <c r="E294" s="2665"/>
      <c r="F294" s="2666"/>
      <c r="G294" s="2605" t="s">
        <v>638</v>
      </c>
      <c r="H294" s="2566">
        <v>200000</v>
      </c>
      <c r="I294" s="2566">
        <v>200000</v>
      </c>
      <c r="J294" s="2566">
        <v>200000</v>
      </c>
      <c r="K294" s="2566">
        <v>200000</v>
      </c>
      <c r="L294" s="2566">
        <v>200000</v>
      </c>
      <c r="M294" s="3126">
        <v>200000</v>
      </c>
      <c r="N294" s="2563">
        <v>200000</v>
      </c>
      <c r="O294" s="2563">
        <f>+'[5]Rybníky 3749-2'!$B$23</f>
        <v>60000</v>
      </c>
      <c r="P294" s="2638">
        <f t="shared" si="10"/>
        <v>-140000</v>
      </c>
      <c r="Q294" s="2679"/>
      <c r="R294" s="2632"/>
      <c r="S294" s="2680"/>
      <c r="T294" s="2680"/>
      <c r="U294" s="2563"/>
      <c r="V294" s="2487"/>
      <c r="W294" s="2530"/>
    </row>
    <row r="295" spans="1:23" ht="15" hidden="1" customHeight="1" outlineLevel="1">
      <c r="A295" s="2564"/>
      <c r="B295" s="2559" t="s">
        <v>297</v>
      </c>
      <c r="C295" s="2664"/>
      <c r="D295" s="2665"/>
      <c r="E295" s="2665"/>
      <c r="F295" s="2666"/>
      <c r="G295" s="2566" t="s">
        <v>638</v>
      </c>
      <c r="H295" s="2566">
        <v>0</v>
      </c>
      <c r="I295" s="2566">
        <v>0</v>
      </c>
      <c r="J295" s="2566">
        <v>0</v>
      </c>
      <c r="K295" s="2566">
        <v>0</v>
      </c>
      <c r="L295" s="2566">
        <v>0</v>
      </c>
      <c r="M295" s="3126">
        <v>0</v>
      </c>
      <c r="N295" s="2563">
        <v>0</v>
      </c>
      <c r="O295" s="2563">
        <f>+'[5]Rybníky 3749-2'!$B$24</f>
        <v>0</v>
      </c>
      <c r="P295" s="2638">
        <f t="shared" si="10"/>
        <v>0</v>
      </c>
      <c r="Q295" s="2679"/>
      <c r="R295" s="2632"/>
      <c r="S295" s="2680"/>
      <c r="T295" s="2680"/>
      <c r="U295" s="2563"/>
      <c r="V295" s="2487"/>
      <c r="W295" s="2530"/>
    </row>
    <row r="296" spans="1:23" ht="15" hidden="1" customHeight="1" outlineLevel="1">
      <c r="A296" s="2564"/>
      <c r="B296" s="2559" t="s">
        <v>297</v>
      </c>
      <c r="C296" s="2664"/>
      <c r="D296" s="2665"/>
      <c r="E296" s="2665"/>
      <c r="F296" s="2666"/>
      <c r="G296" s="2566" t="s">
        <v>638</v>
      </c>
      <c r="H296" s="2566"/>
      <c r="I296" s="2566"/>
      <c r="J296" s="2566"/>
      <c r="K296" s="2566"/>
      <c r="L296" s="2566"/>
      <c r="M296" s="3126"/>
      <c r="N296" s="2563"/>
      <c r="O296" s="2563"/>
      <c r="P296" s="2638">
        <f t="shared" si="10"/>
        <v>0</v>
      </c>
      <c r="Q296" s="2679"/>
      <c r="R296" s="2632"/>
      <c r="S296" s="2680"/>
      <c r="T296" s="2680"/>
      <c r="U296" s="2563"/>
      <c r="V296" s="2487"/>
      <c r="W296" s="2530"/>
    </row>
    <row r="297" spans="1:23" s="2571" customFormat="1" ht="13.9" outlineLevel="1" thickBot="1">
      <c r="A297" s="2533" t="s">
        <v>296</v>
      </c>
      <c r="B297" s="2585" t="s">
        <v>297</v>
      </c>
      <c r="C297" s="2585"/>
      <c r="D297" s="2581"/>
      <c r="E297" s="2581"/>
      <c r="F297" s="2582"/>
      <c r="G297" s="2586" t="s">
        <v>638</v>
      </c>
      <c r="H297" s="2586"/>
      <c r="I297" s="2586"/>
      <c r="J297" s="2581"/>
      <c r="K297" s="2581"/>
      <c r="L297" s="2581"/>
      <c r="M297" s="3128"/>
      <c r="N297" s="2557"/>
      <c r="O297" s="2557"/>
      <c r="P297" s="2558">
        <f t="shared" si="10"/>
        <v>0</v>
      </c>
      <c r="Q297" s="2690"/>
      <c r="R297" s="2636"/>
      <c r="S297" s="2691"/>
      <c r="T297" s="2691"/>
      <c r="U297" s="2563"/>
      <c r="V297" s="2487"/>
      <c r="W297" s="2530"/>
    </row>
    <row r="298" spans="1:23" s="2571" customFormat="1" ht="13.9" thickBot="1">
      <c r="A298" s="3276" t="s">
        <v>1188</v>
      </c>
      <c r="B298" s="3277"/>
      <c r="C298" s="2523"/>
      <c r="D298" s="2524"/>
      <c r="E298" s="2524"/>
      <c r="F298" s="2525"/>
      <c r="G298" s="2524"/>
      <c r="H298" s="2524">
        <v>200000</v>
      </c>
      <c r="I298" s="2524">
        <v>200000</v>
      </c>
      <c r="J298" s="2524">
        <v>200000</v>
      </c>
      <c r="K298" s="2524">
        <v>200000</v>
      </c>
      <c r="L298" s="2524">
        <v>200000</v>
      </c>
      <c r="M298" s="3123">
        <v>200000</v>
      </c>
      <c r="N298" s="2526">
        <v>200000</v>
      </c>
      <c r="O298" s="2526">
        <f t="shared" ref="O298" si="15">SUM(O294:O297)</f>
        <v>60000</v>
      </c>
      <c r="P298" s="3064">
        <f t="shared" si="10"/>
        <v>-140000</v>
      </c>
      <c r="Q298" s="2523"/>
      <c r="R298" s="2523">
        <f t="shared" ref="R298" si="16">SUM(R294:R297)</f>
        <v>0</v>
      </c>
      <c r="S298" s="2523"/>
      <c r="T298" s="2523"/>
      <c r="U298" s="2523"/>
      <c r="V298" s="2529">
        <f>'Výdaje kapitol celkem'!DR72</f>
        <v>60000</v>
      </c>
      <c r="W298" s="2530">
        <f>+V298-O298</f>
        <v>0</v>
      </c>
    </row>
    <row r="299" spans="1:23" ht="15" hidden="1" customHeight="1" outlineLevel="1">
      <c r="A299" s="2564"/>
      <c r="B299" s="2559" t="s">
        <v>1192</v>
      </c>
      <c r="C299" s="2664"/>
      <c r="D299" s="2665"/>
      <c r="E299" s="2665"/>
      <c r="F299" s="2666"/>
      <c r="G299" s="2605" t="s">
        <v>638</v>
      </c>
      <c r="H299" s="2566"/>
      <c r="I299" s="2566"/>
      <c r="J299" s="2566"/>
      <c r="K299" s="2566"/>
      <c r="L299" s="2566"/>
      <c r="M299" s="3126"/>
      <c r="N299" s="2563"/>
      <c r="O299" s="2563"/>
      <c r="P299" s="2638">
        <f t="shared" si="10"/>
        <v>0</v>
      </c>
      <c r="Q299" s="2679"/>
      <c r="R299" s="2632"/>
      <c r="S299" s="2680"/>
      <c r="T299" s="2680"/>
      <c r="U299" s="2563"/>
      <c r="V299" s="2487"/>
      <c r="W299" s="2530"/>
    </row>
    <row r="300" spans="1:23" ht="15" hidden="1" customHeight="1" outlineLevel="1">
      <c r="A300" s="2564"/>
      <c r="B300" s="2559" t="s">
        <v>1192</v>
      </c>
      <c r="C300" s="2664"/>
      <c r="D300" s="2665"/>
      <c r="E300" s="2665"/>
      <c r="F300" s="2666"/>
      <c r="G300" s="2566" t="s">
        <v>638</v>
      </c>
      <c r="H300" s="2566"/>
      <c r="I300" s="2566"/>
      <c r="J300" s="2566"/>
      <c r="K300" s="2566"/>
      <c r="L300" s="2566"/>
      <c r="M300" s="3126"/>
      <c r="N300" s="2563"/>
      <c r="O300" s="2563"/>
      <c r="P300" s="2638">
        <f t="shared" si="10"/>
        <v>0</v>
      </c>
      <c r="Q300" s="2679"/>
      <c r="R300" s="2632"/>
      <c r="S300" s="2680"/>
      <c r="T300" s="2680"/>
      <c r="U300" s="2563"/>
      <c r="V300" s="2487"/>
      <c r="W300" s="2530"/>
    </row>
    <row r="301" spans="1:23" s="2571" customFormat="1" ht="13.9" hidden="1" outlineLevel="1" thickBot="1">
      <c r="A301" s="2533" t="s">
        <v>716</v>
      </c>
      <c r="B301" s="2585" t="s">
        <v>1192</v>
      </c>
      <c r="C301" s="2585"/>
      <c r="D301" s="2581"/>
      <c r="E301" s="2581"/>
      <c r="F301" s="2582"/>
      <c r="G301" s="2581" t="s">
        <v>638</v>
      </c>
      <c r="H301" s="2581"/>
      <c r="I301" s="2581"/>
      <c r="J301" s="2581"/>
      <c r="K301" s="2581"/>
      <c r="L301" s="2581"/>
      <c r="M301" s="3128"/>
      <c r="N301" s="2557"/>
      <c r="O301" s="2557"/>
      <c r="P301" s="2558">
        <f t="shared" si="10"/>
        <v>0</v>
      </c>
      <c r="Q301" s="2690"/>
      <c r="R301" s="2636"/>
      <c r="S301" s="2691"/>
      <c r="T301" s="2691"/>
      <c r="U301" s="2563"/>
      <c r="V301" s="2487"/>
      <c r="W301" s="2530"/>
    </row>
    <row r="302" spans="1:23" s="2571" customFormat="1" ht="13.9" collapsed="1" thickBot="1">
      <c r="A302" s="3276" t="s">
        <v>2986</v>
      </c>
      <c r="B302" s="3277"/>
      <c r="C302" s="2523"/>
      <c r="D302" s="2524"/>
      <c r="E302" s="2524"/>
      <c r="F302" s="2525"/>
      <c r="G302" s="2524"/>
      <c r="H302" s="2524">
        <v>0</v>
      </c>
      <c r="I302" s="2524">
        <v>0</v>
      </c>
      <c r="J302" s="2524">
        <v>0</v>
      </c>
      <c r="K302" s="2524">
        <v>0</v>
      </c>
      <c r="L302" s="2524">
        <v>0</v>
      </c>
      <c r="M302" s="3123">
        <v>0</v>
      </c>
      <c r="N302" s="2526">
        <v>0</v>
      </c>
      <c r="O302" s="2526">
        <f>SUM(O299:O301)</f>
        <v>0</v>
      </c>
      <c r="P302" s="3064">
        <f t="shared" si="10"/>
        <v>0</v>
      </c>
      <c r="Q302" s="2523"/>
      <c r="R302" s="2523">
        <f>SUM(R299:R301)</f>
        <v>0</v>
      </c>
      <c r="S302" s="2523"/>
      <c r="T302" s="2523"/>
      <c r="U302" s="2523"/>
      <c r="V302" s="2529">
        <f>'Výdaje kapitol celkem'!DS72</f>
        <v>0</v>
      </c>
      <c r="W302" s="2530">
        <f>+V302-O302</f>
        <v>0</v>
      </c>
    </row>
    <row r="303" spans="1:23" ht="12" hidden="1" customHeight="1" outlineLevel="1">
      <c r="A303" s="2564"/>
      <c r="B303" s="2559" t="s">
        <v>719</v>
      </c>
      <c r="C303" s="2664"/>
      <c r="D303" s="2665"/>
      <c r="E303" s="2665"/>
      <c r="F303" s="2666"/>
      <c r="G303" s="2605" t="s">
        <v>638</v>
      </c>
      <c r="H303" s="2566"/>
      <c r="I303" s="2566"/>
      <c r="J303" s="2566"/>
      <c r="K303" s="2566"/>
      <c r="L303" s="2566"/>
      <c r="M303" s="3126"/>
      <c r="N303" s="2563"/>
      <c r="O303" s="2563"/>
      <c r="P303" s="2638">
        <f t="shared" si="10"/>
        <v>0</v>
      </c>
      <c r="Q303" s="2679"/>
      <c r="R303" s="2632"/>
      <c r="S303" s="2680"/>
      <c r="T303" s="2680"/>
      <c r="U303" s="2563"/>
      <c r="V303" s="2487"/>
      <c r="W303" s="2530"/>
    </row>
    <row r="304" spans="1:23" ht="15" hidden="1" customHeight="1" outlineLevel="1">
      <c r="A304" s="2532"/>
      <c r="B304" s="2559" t="s">
        <v>719</v>
      </c>
      <c r="C304" s="2664"/>
      <c r="D304" s="2665"/>
      <c r="E304" s="2665"/>
      <c r="F304" s="2666"/>
      <c r="G304" s="2566" t="s">
        <v>638</v>
      </c>
      <c r="H304" s="2566"/>
      <c r="I304" s="2566"/>
      <c r="J304" s="2566"/>
      <c r="K304" s="2566"/>
      <c r="L304" s="2566"/>
      <c r="M304" s="3126"/>
      <c r="N304" s="2563"/>
      <c r="O304" s="2563"/>
      <c r="P304" s="2638">
        <f t="shared" si="10"/>
        <v>0</v>
      </c>
      <c r="Q304" s="2679"/>
      <c r="R304" s="2632"/>
      <c r="S304" s="2680"/>
      <c r="T304" s="2680"/>
      <c r="U304" s="2563"/>
      <c r="V304" s="2487"/>
      <c r="W304" s="2530"/>
    </row>
    <row r="305" spans="1:23" s="2571" customFormat="1" ht="12" hidden="1" customHeight="1" outlineLevel="1" thickBot="1">
      <c r="A305" s="2533" t="s">
        <v>717</v>
      </c>
      <c r="B305" s="2585" t="s">
        <v>719</v>
      </c>
      <c r="C305" s="2585"/>
      <c r="D305" s="2581"/>
      <c r="E305" s="2581"/>
      <c r="F305" s="2582"/>
      <c r="G305" s="2581" t="s">
        <v>638</v>
      </c>
      <c r="H305" s="2581"/>
      <c r="I305" s="2581"/>
      <c r="J305" s="2581"/>
      <c r="K305" s="2581"/>
      <c r="L305" s="2581"/>
      <c r="M305" s="3128"/>
      <c r="N305" s="2557"/>
      <c r="O305" s="2557"/>
      <c r="P305" s="2558">
        <f t="shared" si="10"/>
        <v>0</v>
      </c>
      <c r="Q305" s="2690"/>
      <c r="R305" s="2636"/>
      <c r="S305" s="2691"/>
      <c r="T305" s="2691"/>
      <c r="U305" s="2563"/>
      <c r="V305" s="2487"/>
      <c r="W305" s="2530"/>
    </row>
    <row r="306" spans="1:23" s="2571" customFormat="1" ht="13.9" collapsed="1" thickBot="1">
      <c r="A306" s="3276" t="s">
        <v>1189</v>
      </c>
      <c r="B306" s="3277"/>
      <c r="C306" s="2523"/>
      <c r="D306" s="2524"/>
      <c r="E306" s="2524"/>
      <c r="F306" s="2525"/>
      <c r="G306" s="2524"/>
      <c r="H306" s="2524">
        <v>0</v>
      </c>
      <c r="I306" s="2524">
        <v>0</v>
      </c>
      <c r="J306" s="2524">
        <v>0</v>
      </c>
      <c r="K306" s="2524">
        <v>0</v>
      </c>
      <c r="L306" s="2524">
        <v>0</v>
      </c>
      <c r="M306" s="3123">
        <v>0</v>
      </c>
      <c r="N306" s="2526">
        <v>0</v>
      </c>
      <c r="O306" s="2526">
        <f>SUM(O303:O305)</f>
        <v>0</v>
      </c>
      <c r="P306" s="3064">
        <f t="shared" si="10"/>
        <v>0</v>
      </c>
      <c r="Q306" s="2523"/>
      <c r="R306" s="2523">
        <f>SUM(R303:R305)</f>
        <v>0</v>
      </c>
      <c r="S306" s="2523"/>
      <c r="T306" s="2523"/>
      <c r="U306" s="2523"/>
      <c r="V306" s="2529">
        <f>'Výdaje kapitol celkem'!DT72</f>
        <v>0</v>
      </c>
      <c r="W306" s="2530">
        <f>+V306-O306</f>
        <v>0</v>
      </c>
    </row>
    <row r="307" spans="1:23" ht="12" hidden="1" customHeight="1" outlineLevel="1">
      <c r="A307" s="2564"/>
      <c r="B307" s="2559" t="s">
        <v>492</v>
      </c>
      <c r="C307" s="2664"/>
      <c r="D307" s="2665"/>
      <c r="E307" s="2665"/>
      <c r="F307" s="2666"/>
      <c r="G307" s="2605" t="s">
        <v>638</v>
      </c>
      <c r="H307" s="2566"/>
      <c r="I307" s="2566"/>
      <c r="J307" s="2566"/>
      <c r="K307" s="2566"/>
      <c r="L307" s="2566"/>
      <c r="M307" s="3126"/>
      <c r="N307" s="2563"/>
      <c r="O307" s="2563"/>
      <c r="P307" s="2638">
        <f t="shared" si="10"/>
        <v>0</v>
      </c>
      <c r="Q307" s="2679"/>
      <c r="R307" s="2632"/>
      <c r="S307" s="2680"/>
      <c r="T307" s="2680"/>
      <c r="U307" s="2563"/>
      <c r="V307" s="2487"/>
      <c r="W307" s="2530"/>
    </row>
    <row r="308" spans="1:23" ht="15" hidden="1" customHeight="1" outlineLevel="1">
      <c r="A308" s="2564"/>
      <c r="B308" s="2559" t="s">
        <v>492</v>
      </c>
      <c r="C308" s="2664"/>
      <c r="D308" s="2665"/>
      <c r="E308" s="2665"/>
      <c r="F308" s="2666"/>
      <c r="G308" s="2566" t="s">
        <v>638</v>
      </c>
      <c r="H308" s="2566"/>
      <c r="I308" s="2566"/>
      <c r="J308" s="2566"/>
      <c r="K308" s="2566"/>
      <c r="L308" s="2566"/>
      <c r="M308" s="3126"/>
      <c r="N308" s="2563"/>
      <c r="O308" s="2563"/>
      <c r="P308" s="2638">
        <f t="shared" si="10"/>
        <v>0</v>
      </c>
      <c r="Q308" s="2679"/>
      <c r="R308" s="2632"/>
      <c r="S308" s="2680"/>
      <c r="T308" s="2680"/>
      <c r="U308" s="2563"/>
      <c r="V308" s="2487"/>
      <c r="W308" s="2530"/>
    </row>
    <row r="309" spans="1:23" s="2571" customFormat="1" ht="12" hidden="1" customHeight="1" outlineLevel="1" thickBot="1">
      <c r="A309" s="2533" t="s">
        <v>1102</v>
      </c>
      <c r="B309" s="2585" t="s">
        <v>492</v>
      </c>
      <c r="C309" s="2585"/>
      <c r="D309" s="2581"/>
      <c r="E309" s="2581"/>
      <c r="F309" s="2582"/>
      <c r="G309" s="2581" t="s">
        <v>638</v>
      </c>
      <c r="H309" s="2581"/>
      <c r="I309" s="2581"/>
      <c r="J309" s="2581"/>
      <c r="K309" s="2581"/>
      <c r="L309" s="2581"/>
      <c r="M309" s="3128"/>
      <c r="N309" s="2557"/>
      <c r="O309" s="2557"/>
      <c r="P309" s="2558">
        <f t="shared" si="10"/>
        <v>0</v>
      </c>
      <c r="Q309" s="2690"/>
      <c r="R309" s="2636"/>
      <c r="S309" s="2691"/>
      <c r="T309" s="2691"/>
      <c r="U309" s="2563"/>
      <c r="V309" s="2487"/>
      <c r="W309" s="2530"/>
    </row>
    <row r="310" spans="1:23" s="2571" customFormat="1" ht="13.9" collapsed="1" thickBot="1">
      <c r="A310" s="3276" t="s">
        <v>2987</v>
      </c>
      <c r="B310" s="3277"/>
      <c r="C310" s="2523"/>
      <c r="D310" s="2524"/>
      <c r="E310" s="2524"/>
      <c r="F310" s="2525"/>
      <c r="G310" s="2524"/>
      <c r="H310" s="2524">
        <v>0</v>
      </c>
      <c r="I310" s="2524">
        <v>0</v>
      </c>
      <c r="J310" s="2524">
        <v>0</v>
      </c>
      <c r="K310" s="2524">
        <v>0</v>
      </c>
      <c r="L310" s="2524">
        <v>0</v>
      </c>
      <c r="M310" s="3123">
        <v>0</v>
      </c>
      <c r="N310" s="2526">
        <v>0</v>
      </c>
      <c r="O310" s="2526">
        <f>SUM(O307:O309)</f>
        <v>0</v>
      </c>
      <c r="P310" s="3064">
        <f t="shared" si="10"/>
        <v>0</v>
      </c>
      <c r="Q310" s="2523"/>
      <c r="R310" s="2523">
        <f>SUM(R307:R309)</f>
        <v>0</v>
      </c>
      <c r="S310" s="2523"/>
      <c r="T310" s="2523"/>
      <c r="U310" s="2523"/>
      <c r="V310" s="2529">
        <f>'Výdaje kapitol celkem'!DW61</f>
        <v>0</v>
      </c>
      <c r="W310" s="2530">
        <f>+V310-O310</f>
        <v>0</v>
      </c>
    </row>
    <row r="311" spans="1:23" ht="16.5" hidden="1" customHeight="1" outlineLevel="1">
      <c r="A311" s="2564"/>
      <c r="B311" s="2559" t="s">
        <v>852</v>
      </c>
      <c r="C311" s="2664"/>
      <c r="D311" s="2665"/>
      <c r="E311" s="2665"/>
      <c r="F311" s="2666"/>
      <c r="G311" s="2605" t="s">
        <v>638</v>
      </c>
      <c r="H311" s="2566"/>
      <c r="I311" s="2566"/>
      <c r="J311" s="2566"/>
      <c r="K311" s="2566"/>
      <c r="L311" s="2566"/>
      <c r="M311" s="3126"/>
      <c r="N311" s="2563"/>
      <c r="O311" s="2563"/>
      <c r="P311" s="2638">
        <f t="shared" si="10"/>
        <v>0</v>
      </c>
      <c r="Q311" s="2679"/>
      <c r="R311" s="2632"/>
      <c r="S311" s="2680"/>
      <c r="T311" s="2680"/>
      <c r="U311" s="2563"/>
      <c r="V311" s="2487"/>
      <c r="W311" s="2530"/>
    </row>
    <row r="312" spans="1:23" ht="15" hidden="1" customHeight="1" outlineLevel="1">
      <c r="A312" s="2564"/>
      <c r="B312" s="2559" t="s">
        <v>852</v>
      </c>
      <c r="C312" s="2664"/>
      <c r="D312" s="2665"/>
      <c r="E312" s="2665"/>
      <c r="F312" s="2666"/>
      <c r="G312" s="2566" t="s">
        <v>638</v>
      </c>
      <c r="H312" s="2566"/>
      <c r="I312" s="2566"/>
      <c r="J312" s="2566"/>
      <c r="K312" s="2566"/>
      <c r="L312" s="2566"/>
      <c r="M312" s="3126"/>
      <c r="N312" s="2563"/>
      <c r="O312" s="2563"/>
      <c r="P312" s="2638">
        <f t="shared" si="10"/>
        <v>0</v>
      </c>
      <c r="Q312" s="2679"/>
      <c r="R312" s="2632"/>
      <c r="S312" s="2680"/>
      <c r="T312" s="2680"/>
      <c r="U312" s="2563"/>
      <c r="V312" s="2487"/>
      <c r="W312" s="2530"/>
    </row>
    <row r="313" spans="1:23" s="2571" customFormat="1" ht="12" hidden="1" customHeight="1" outlineLevel="1" thickBot="1">
      <c r="A313" s="2533" t="s">
        <v>717</v>
      </c>
      <c r="B313" s="2585" t="s">
        <v>852</v>
      </c>
      <c r="C313" s="2585"/>
      <c r="D313" s="2581"/>
      <c r="E313" s="2581"/>
      <c r="F313" s="2582"/>
      <c r="G313" s="2581" t="s">
        <v>638</v>
      </c>
      <c r="H313" s="2581"/>
      <c r="I313" s="2581"/>
      <c r="J313" s="2581"/>
      <c r="K313" s="2581"/>
      <c r="L313" s="2581"/>
      <c r="M313" s="3128"/>
      <c r="N313" s="2557"/>
      <c r="O313" s="2557"/>
      <c r="P313" s="2558">
        <f t="shared" si="10"/>
        <v>0</v>
      </c>
      <c r="Q313" s="2690"/>
      <c r="R313" s="2636"/>
      <c r="S313" s="2691"/>
      <c r="T313" s="2691"/>
      <c r="U313" s="2563"/>
      <c r="V313" s="2487"/>
      <c r="W313" s="2530"/>
    </row>
    <row r="314" spans="1:23" s="2571" customFormat="1" ht="13.9" collapsed="1" thickBot="1">
      <c r="A314" s="3276" t="s">
        <v>1190</v>
      </c>
      <c r="B314" s="3277"/>
      <c r="C314" s="2523"/>
      <c r="D314" s="2524"/>
      <c r="E314" s="2524"/>
      <c r="F314" s="2525"/>
      <c r="G314" s="2524"/>
      <c r="H314" s="2524">
        <v>0</v>
      </c>
      <c r="I314" s="2524">
        <v>0</v>
      </c>
      <c r="J314" s="2524">
        <v>0</v>
      </c>
      <c r="K314" s="2524">
        <v>0</v>
      </c>
      <c r="L314" s="2524">
        <v>0</v>
      </c>
      <c r="M314" s="3123">
        <v>0</v>
      </c>
      <c r="N314" s="2526">
        <v>0</v>
      </c>
      <c r="O314" s="2526">
        <f>SUM(O311:O313)</f>
        <v>0</v>
      </c>
      <c r="P314" s="3064">
        <f t="shared" si="10"/>
        <v>0</v>
      </c>
      <c r="Q314" s="2523"/>
      <c r="R314" s="2523">
        <f>SUM(R311:R313)</f>
        <v>0</v>
      </c>
      <c r="S314" s="2523"/>
      <c r="T314" s="2523"/>
      <c r="U314" s="2523"/>
      <c r="V314" s="2529">
        <f>'Výdaje kapitol celkem'!DU72</f>
        <v>0</v>
      </c>
      <c r="W314" s="2530">
        <f>+V314-O314</f>
        <v>0</v>
      </c>
    </row>
    <row r="315" spans="1:23" ht="12" hidden="1" customHeight="1" outlineLevel="1">
      <c r="A315" s="2564"/>
      <c r="B315" s="2559" t="s">
        <v>485</v>
      </c>
      <c r="C315" s="2664"/>
      <c r="D315" s="2665"/>
      <c r="E315" s="2665"/>
      <c r="F315" s="2666"/>
      <c r="G315" s="2605" t="s">
        <v>638</v>
      </c>
      <c r="H315" s="2566"/>
      <c r="I315" s="2566"/>
      <c r="J315" s="2566"/>
      <c r="K315" s="2566"/>
      <c r="L315" s="2566"/>
      <c r="M315" s="3126"/>
      <c r="N315" s="2563"/>
      <c r="O315" s="2563"/>
      <c r="P315" s="2638">
        <f t="shared" si="10"/>
        <v>0</v>
      </c>
      <c r="Q315" s="2679"/>
      <c r="R315" s="2563"/>
      <c r="S315" s="2680"/>
      <c r="T315" s="2680"/>
      <c r="U315" s="2563"/>
      <c r="V315" s="2487"/>
      <c r="W315" s="2530"/>
    </row>
    <row r="316" spans="1:23" ht="15" hidden="1" customHeight="1" outlineLevel="1">
      <c r="A316" s="2693"/>
      <c r="B316" s="2559" t="s">
        <v>485</v>
      </c>
      <c r="C316" s="2664"/>
      <c r="D316" s="2665"/>
      <c r="E316" s="2665"/>
      <c r="F316" s="2666"/>
      <c r="G316" s="2573" t="s">
        <v>638</v>
      </c>
      <c r="H316" s="2573"/>
      <c r="I316" s="2573"/>
      <c r="J316" s="2573"/>
      <c r="K316" s="2573"/>
      <c r="L316" s="2573"/>
      <c r="M316" s="3127"/>
      <c r="N316" s="2563"/>
      <c r="O316" s="2563"/>
      <c r="P316" s="2638">
        <f t="shared" si="10"/>
        <v>0</v>
      </c>
      <c r="Q316" s="2679"/>
      <c r="R316" s="2563"/>
      <c r="S316" s="2694"/>
      <c r="T316" s="2694"/>
      <c r="U316" s="2563"/>
      <c r="V316" s="2487"/>
      <c r="W316" s="2530"/>
    </row>
    <row r="317" spans="1:23" ht="15" hidden="1" customHeight="1" outlineLevel="1">
      <c r="A317" s="2693"/>
      <c r="B317" s="2559" t="s">
        <v>485</v>
      </c>
      <c r="C317" s="2664"/>
      <c r="D317" s="2665"/>
      <c r="E317" s="2665"/>
      <c r="F317" s="2666"/>
      <c r="G317" s="2573" t="s">
        <v>638</v>
      </c>
      <c r="H317" s="2573"/>
      <c r="I317" s="2573"/>
      <c r="J317" s="2573"/>
      <c r="K317" s="2573"/>
      <c r="L317" s="2573"/>
      <c r="M317" s="3127"/>
      <c r="N317" s="2563"/>
      <c r="O317" s="2563"/>
      <c r="P317" s="2638">
        <f t="shared" si="10"/>
        <v>0</v>
      </c>
      <c r="Q317" s="2679"/>
      <c r="R317" s="2563"/>
      <c r="S317" s="2694"/>
      <c r="T317" s="2694"/>
      <c r="U317" s="2563"/>
      <c r="V317" s="2487"/>
      <c r="W317" s="2530"/>
    </row>
    <row r="318" spans="1:23" ht="15" hidden="1" customHeight="1" outlineLevel="1" thickBot="1">
      <c r="A318" s="2533" t="s">
        <v>182</v>
      </c>
      <c r="B318" s="2559" t="s">
        <v>485</v>
      </c>
      <c r="C318" s="2664"/>
      <c r="D318" s="2665"/>
      <c r="E318" s="2665"/>
      <c r="F318" s="2666"/>
      <c r="G318" s="2573" t="s">
        <v>638</v>
      </c>
      <c r="H318" s="2573"/>
      <c r="I318" s="2573"/>
      <c r="J318" s="2573"/>
      <c r="K318" s="2573"/>
      <c r="L318" s="2573"/>
      <c r="M318" s="3127"/>
      <c r="N318" s="2563"/>
      <c r="O318" s="2563"/>
      <c r="P318" s="2638">
        <f t="shared" si="10"/>
        <v>0</v>
      </c>
      <c r="Q318" s="2679"/>
      <c r="R318" s="2563"/>
      <c r="S318" s="2694"/>
      <c r="T318" s="2694"/>
      <c r="U318" s="2563"/>
      <c r="V318" s="2487"/>
      <c r="W318" s="2530"/>
    </row>
    <row r="319" spans="1:23" s="2571" customFormat="1" ht="13.9" collapsed="1" thickBot="1">
      <c r="A319" s="3276" t="s">
        <v>1191</v>
      </c>
      <c r="B319" s="3277"/>
      <c r="C319" s="2523"/>
      <c r="D319" s="2524"/>
      <c r="E319" s="2524"/>
      <c r="F319" s="2525"/>
      <c r="G319" s="2524"/>
      <c r="H319" s="2524">
        <v>0</v>
      </c>
      <c r="I319" s="2524">
        <v>0</v>
      </c>
      <c r="J319" s="2524">
        <v>0</v>
      </c>
      <c r="K319" s="2524">
        <v>0</v>
      </c>
      <c r="L319" s="2524">
        <v>0</v>
      </c>
      <c r="M319" s="3123">
        <v>0</v>
      </c>
      <c r="N319" s="2526">
        <v>0</v>
      </c>
      <c r="O319" s="2526">
        <f>SUM(O315:O318)</f>
        <v>0</v>
      </c>
      <c r="P319" s="3064">
        <f t="shared" si="10"/>
        <v>0</v>
      </c>
      <c r="Q319" s="2523"/>
      <c r="R319" s="2523">
        <f>SUM(R315:R318)</f>
        <v>0</v>
      </c>
      <c r="S319" s="2523"/>
      <c r="T319" s="2523"/>
      <c r="U319" s="2523"/>
      <c r="V319" s="2529">
        <f>'Výdaje kapitol celkem'!DY72</f>
        <v>0</v>
      </c>
      <c r="W319" s="2530">
        <f>+V319-O319</f>
        <v>0</v>
      </c>
    </row>
    <row r="320" spans="1:23" ht="15" customHeight="1" outlineLevel="1">
      <c r="A320" s="2693"/>
      <c r="B320" s="2559" t="s">
        <v>162</v>
      </c>
      <c r="C320" s="2664" t="s">
        <v>2568</v>
      </c>
      <c r="D320" s="2665"/>
      <c r="E320" s="2665"/>
      <c r="F320" s="2666"/>
      <c r="G320" s="2605" t="s">
        <v>638</v>
      </c>
      <c r="H320" s="2566">
        <v>200000</v>
      </c>
      <c r="I320" s="2566">
        <v>200000</v>
      </c>
      <c r="J320" s="2566">
        <v>200000</v>
      </c>
      <c r="K320" s="2566">
        <v>200000</v>
      </c>
      <c r="L320" s="2566">
        <v>200000</v>
      </c>
      <c r="M320" s="3126">
        <v>200000</v>
      </c>
      <c r="N320" s="2563">
        <v>200000</v>
      </c>
      <c r="O320" s="2563">
        <f>+[4]Cyklostezky!$B$5</f>
        <v>0</v>
      </c>
      <c r="P320" s="2638">
        <f t="shared" si="10"/>
        <v>-200000</v>
      </c>
      <c r="Q320" s="2679"/>
      <c r="R320" s="2563"/>
      <c r="S320" s="2694"/>
      <c r="T320" s="2694"/>
      <c r="U320" s="2563"/>
      <c r="V320" s="2487"/>
      <c r="W320" s="2530"/>
    </row>
    <row r="321" spans="1:23" ht="15" hidden="1" customHeight="1" outlineLevel="1">
      <c r="A321" s="2693"/>
      <c r="B321" s="2559" t="s">
        <v>162</v>
      </c>
      <c r="C321" s="2664"/>
      <c r="D321" s="2665"/>
      <c r="E321" s="2665"/>
      <c r="F321" s="2666"/>
      <c r="G321" s="2573" t="s">
        <v>638</v>
      </c>
      <c r="H321" s="2573"/>
      <c r="I321" s="2573"/>
      <c r="J321" s="2573"/>
      <c r="K321" s="2573"/>
      <c r="L321" s="2573"/>
      <c r="M321" s="3127"/>
      <c r="N321" s="2563"/>
      <c r="O321" s="2563"/>
      <c r="P321" s="2638">
        <f t="shared" si="10"/>
        <v>0</v>
      </c>
      <c r="Q321" s="2679"/>
      <c r="R321" s="2563"/>
      <c r="S321" s="2694"/>
      <c r="T321" s="2694"/>
      <c r="U321" s="2563"/>
      <c r="V321" s="2487"/>
      <c r="W321" s="2530"/>
    </row>
    <row r="322" spans="1:23" ht="15" hidden="1" customHeight="1" outlineLevel="1">
      <c r="A322" s="2693"/>
      <c r="B322" s="2559" t="s">
        <v>162</v>
      </c>
      <c r="C322" s="2664"/>
      <c r="D322" s="2665"/>
      <c r="E322" s="2665"/>
      <c r="F322" s="2666"/>
      <c r="G322" s="2573" t="s">
        <v>638</v>
      </c>
      <c r="H322" s="2573"/>
      <c r="I322" s="2573"/>
      <c r="J322" s="2573"/>
      <c r="K322" s="2573"/>
      <c r="L322" s="2573"/>
      <c r="M322" s="3127"/>
      <c r="N322" s="2563"/>
      <c r="O322" s="2563"/>
      <c r="P322" s="2638">
        <f t="shared" si="10"/>
        <v>0</v>
      </c>
      <c r="Q322" s="2679"/>
      <c r="R322" s="2563"/>
      <c r="S322" s="2694"/>
      <c r="T322" s="2694"/>
      <c r="U322" s="2563"/>
      <c r="V322" s="2487"/>
      <c r="W322" s="2530"/>
    </row>
    <row r="323" spans="1:23" ht="13.9" outlineLevel="1" thickBot="1">
      <c r="A323" s="2533" t="s">
        <v>1216</v>
      </c>
      <c r="B323" s="2585" t="s">
        <v>162</v>
      </c>
      <c r="C323" s="2585"/>
      <c r="D323" s="2581"/>
      <c r="E323" s="2581"/>
      <c r="F323" s="2582"/>
      <c r="G323" s="2586" t="s">
        <v>638</v>
      </c>
      <c r="H323" s="2586"/>
      <c r="I323" s="2586"/>
      <c r="J323" s="2586"/>
      <c r="K323" s="2586"/>
      <c r="L323" s="2586"/>
      <c r="M323" s="3129"/>
      <c r="N323" s="2537"/>
      <c r="O323" s="2537"/>
      <c r="P323" s="2558">
        <f t="shared" si="10"/>
        <v>0</v>
      </c>
      <c r="Q323" s="2690"/>
      <c r="R323" s="2557"/>
      <c r="S323" s="2695"/>
      <c r="T323" s="2695"/>
      <c r="U323" s="2563"/>
      <c r="V323" s="2487"/>
      <c r="W323" s="2530"/>
    </row>
    <row r="324" spans="1:23" s="2571" customFormat="1" ht="13.9" thickBot="1">
      <c r="A324" s="3276" t="s">
        <v>634</v>
      </c>
      <c r="B324" s="3277"/>
      <c r="C324" s="2523"/>
      <c r="D324" s="2524"/>
      <c r="E324" s="2524"/>
      <c r="F324" s="2525"/>
      <c r="G324" s="2524"/>
      <c r="H324" s="2524">
        <v>200000</v>
      </c>
      <c r="I324" s="2524">
        <v>200000</v>
      </c>
      <c r="J324" s="2524">
        <v>200000</v>
      </c>
      <c r="K324" s="2524">
        <v>200000</v>
      </c>
      <c r="L324" s="2524">
        <v>200000</v>
      </c>
      <c r="M324" s="3123">
        <v>200000</v>
      </c>
      <c r="N324" s="2526">
        <v>200000</v>
      </c>
      <c r="O324" s="2526">
        <f t="shared" ref="O324" si="17">SUM(O320:O323)</f>
        <v>0</v>
      </c>
      <c r="P324" s="3064">
        <f t="shared" si="10"/>
        <v>-200000</v>
      </c>
      <c r="Q324" s="2523"/>
      <c r="R324" s="2523">
        <f t="shared" ref="R324" si="18">SUM(R320:R323)</f>
        <v>0</v>
      </c>
      <c r="S324" s="2523"/>
      <c r="T324" s="2523"/>
      <c r="U324" s="2523"/>
      <c r="V324" s="2529">
        <f>'Výdaje kapitol celkem'!EC72</f>
        <v>0</v>
      </c>
      <c r="W324" s="2530">
        <f>+V324-O324</f>
        <v>0</v>
      </c>
    </row>
    <row r="325" spans="1:23" s="2571" customFormat="1" ht="20.25" customHeight="1" thickBot="1">
      <c r="A325" s="2696" t="s">
        <v>1562</v>
      </c>
      <c r="B325" s="2697"/>
      <c r="C325" s="2698"/>
      <c r="D325" s="2699"/>
      <c r="E325" s="2699"/>
      <c r="F325" s="2700"/>
      <c r="G325" s="2699"/>
      <c r="H325" s="2972">
        <v>177715916</v>
      </c>
      <c r="I325" s="2972">
        <v>196415916</v>
      </c>
      <c r="J325" s="2972">
        <v>196580871</v>
      </c>
      <c r="K325" s="2972">
        <v>196580871</v>
      </c>
      <c r="L325" s="2972">
        <v>169262974</v>
      </c>
      <c r="M325" s="3147">
        <v>169262974</v>
      </c>
      <c r="N325" s="2701">
        <f>+N324+N319+N298+N293+N290+N287+N284+N281+N277+N259+N256+N187+N182+N167+N156+N144+N135+N106+N102+N98+N94+N82+N78+N73+N70+N66+N47+N40+N30+N20+N15+N302+N306+N314+N310+N160+N111+N36+N140+N116+N33</f>
        <v>117241969</v>
      </c>
      <c r="O325" s="2701">
        <f>+O324+O319+O298+O293+O290+O287+O284+O281+O277+O259+O256+O187+O182+O167+O156+O144+O135+O106+O102+O98+O94+O82+O78+O73+O70+O66+O47+O40+O30+O20+O15+O302+O306+O314+O310+O160+O111+O36+O140+O116+O33</f>
        <v>105644080</v>
      </c>
      <c r="P325" s="2702">
        <f t="shared" si="10"/>
        <v>-11597889</v>
      </c>
      <c r="Q325" s="2703"/>
      <c r="R325" s="2701">
        <f>+R324+R319+R298+R293+R290+R287+R284+R281+R277+R259+R256+R187+R182+R167+R156+R144+R135+R106+R102+R98+R94+R82+R78+R73+R70+R66+R47+R40+R30+R20+R15+R302+R306</f>
        <v>30398512</v>
      </c>
      <c r="S325" s="2704"/>
      <c r="T325" s="2704"/>
      <c r="U325" s="2705"/>
      <c r="V325" s="2487"/>
      <c r="W325" s="2706"/>
    </row>
    <row r="326" spans="1:23" ht="13.5">
      <c r="A326" s="2485"/>
      <c r="B326" s="2485"/>
      <c r="C326" s="2485"/>
      <c r="D326" s="2486"/>
      <c r="E326" s="2486"/>
      <c r="F326" s="2486"/>
      <c r="G326" s="2486"/>
      <c r="H326" s="2486">
        <v>177715916</v>
      </c>
      <c r="I326" s="2486">
        <v>196415916</v>
      </c>
      <c r="J326" s="2486">
        <v>196580871</v>
      </c>
      <c r="K326" s="2486">
        <v>196580871</v>
      </c>
      <c r="L326" s="2486">
        <v>169262974</v>
      </c>
      <c r="M326" s="2707">
        <v>169262974</v>
      </c>
      <c r="N326" s="2707">
        <v>117241969</v>
      </c>
      <c r="O326" s="2707">
        <f>+'Výdaje kapitol celkem'!K60+'Výdaje kapitol celkem'!K61+'Výdaje kapitol celkem'!K62+'Výdaje kapitol celkem'!K63+'Výdaje kapitol celkem'!K64+'Výdaje kapitol celkem'!K65+'Výdaje kapitol celkem'!K66+'Výdaje kapitol celkem'!K67+'Výdaje kapitol celkem'!K68+'Výdaje kapitol celkem'!K69</f>
        <v>105644080</v>
      </c>
      <c r="P326" s="2708"/>
      <c r="Q326" s="2484"/>
      <c r="R326" s="2709"/>
      <c r="S326" s="2710"/>
      <c r="T326" s="2710"/>
      <c r="U326" s="2709"/>
      <c r="V326" s="2487"/>
      <c r="W326" s="2530">
        <f>+W235+W219+W196+W126+W75+W56+W34</f>
        <v>0</v>
      </c>
    </row>
    <row r="327" spans="1:23" s="2712" customFormat="1" ht="13.5">
      <c r="A327" s="2483"/>
      <c r="B327" s="2483"/>
      <c r="C327" s="2483"/>
      <c r="D327" s="2488"/>
      <c r="E327" s="2488"/>
      <c r="F327" s="2488"/>
      <c r="G327" s="2488"/>
      <c r="H327" s="2488">
        <v>0</v>
      </c>
      <c r="I327" s="2488">
        <v>0</v>
      </c>
      <c r="J327" s="2488">
        <v>0</v>
      </c>
      <c r="K327" s="2488">
        <v>0</v>
      </c>
      <c r="L327" s="2488">
        <v>0</v>
      </c>
      <c r="M327" s="2530">
        <f>+M326-M325</f>
        <v>0</v>
      </c>
      <c r="N327" s="2530">
        <f>+N326-N325</f>
        <v>0</v>
      </c>
      <c r="O327" s="2530">
        <f>+O326-O325</f>
        <v>0</v>
      </c>
      <c r="P327" s="2708"/>
      <c r="Q327" s="2708"/>
      <c r="R327" s="2708"/>
      <c r="S327" s="2711"/>
      <c r="T327" s="2711"/>
      <c r="U327" s="2708"/>
      <c r="V327" s="2488"/>
      <c r="W327" s="2488"/>
    </row>
    <row r="328" spans="1:23">
      <c r="A328" s="2713" t="s">
        <v>545</v>
      </c>
      <c r="B328" s="2485"/>
      <c r="C328" s="2485"/>
      <c r="D328" s="2486"/>
      <c r="E328" s="2486"/>
      <c r="F328" s="2486"/>
      <c r="G328" s="2486"/>
      <c r="H328" s="2486"/>
      <c r="I328" s="2486"/>
      <c r="J328" s="2486"/>
      <c r="K328" s="2486"/>
      <c r="L328" s="2486"/>
      <c r="M328" s="2492"/>
      <c r="N328" s="2492"/>
      <c r="O328" s="2492"/>
      <c r="P328" s="2714"/>
      <c r="Q328" s="2484"/>
      <c r="R328" s="2485"/>
      <c r="S328" s="2486"/>
      <c r="T328" s="2486"/>
      <c r="U328" s="2485"/>
      <c r="V328" s="2487"/>
      <c r="W328" s="2488"/>
    </row>
  </sheetData>
  <sheetProtection algorithmName="SHA-512" hashValue="F8nXh9EDk78v/cq1wKoQVemy+UunUWjVPWP/ilvZ31QgFC2g/v6knm2Rnv9gpYKTIG6Di8l5MhNkcG7uZIMcsA==" saltValue="mpNkcIFA7e6qauR0zdJL1w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3:B33"/>
    <mergeCell ref="A306:B306"/>
    <mergeCell ref="A310:B310"/>
    <mergeCell ref="A314:B314"/>
    <mergeCell ref="A319:B319"/>
    <mergeCell ref="A290:B290"/>
    <mergeCell ref="A293:B293"/>
    <mergeCell ref="A298:B298"/>
    <mergeCell ref="A302:B302"/>
    <mergeCell ref="A15:B15"/>
    <mergeCell ref="A135:B135"/>
    <mergeCell ref="A187:B187"/>
    <mergeCell ref="A20:B20"/>
    <mergeCell ref="A30:B30"/>
    <mergeCell ref="A40:B40"/>
    <mergeCell ref="A47:B47"/>
    <mergeCell ref="A66:B66"/>
    <mergeCell ref="A70:B70"/>
    <mergeCell ref="A73:B73"/>
    <mergeCell ref="A78:B78"/>
    <mergeCell ref="A82:B82"/>
    <mergeCell ref="A94:B94"/>
    <mergeCell ref="A98:B98"/>
    <mergeCell ref="A36:B36"/>
    <mergeCell ref="A140:B140"/>
    <mergeCell ref="A324:B324"/>
    <mergeCell ref="A182:B182"/>
    <mergeCell ref="A281:B281"/>
    <mergeCell ref="A287:B287"/>
    <mergeCell ref="A102:B102"/>
    <mergeCell ref="A106:B106"/>
    <mergeCell ref="A144:B144"/>
    <mergeCell ref="A156:B156"/>
    <mergeCell ref="A167:B167"/>
    <mergeCell ref="A256:B256"/>
    <mergeCell ref="A277:B277"/>
    <mergeCell ref="A160:B160"/>
    <mergeCell ref="A111:B111"/>
    <mergeCell ref="A116:B116"/>
    <mergeCell ref="A259:B259"/>
    <mergeCell ref="A284:B284"/>
  </mergeCells>
  <phoneticPr fontId="8" type="noConversion"/>
  <pageMargins left="0.23622047244094491" right="0.23622047244094491" top="0.35433070866141736" bottom="0.35433070866141736" header="0.31496062992125984" footer="0.31496062992125984"/>
  <pageSetup paperSize="8" scale="68" fitToHeight="3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152" t="s">
        <v>690</v>
      </c>
      <c r="D2" s="3153"/>
      <c r="E2" s="3153"/>
      <c r="F2" s="3153"/>
      <c r="G2" s="3153"/>
      <c r="H2" s="3153"/>
      <c r="I2" s="3153"/>
      <c r="J2" s="3153"/>
      <c r="K2" s="3153"/>
      <c r="L2" s="3153"/>
      <c r="M2" s="3153"/>
      <c r="N2" s="3153"/>
      <c r="O2" s="3153"/>
      <c r="P2" s="3153"/>
      <c r="Q2" s="3153"/>
      <c r="R2" s="3153"/>
      <c r="S2" s="3154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1431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1432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1433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1434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78"/>
  <sheetViews>
    <sheetView topLeftCell="A51" zoomScale="85" zoomScaleNormal="85" workbookViewId="0">
      <selection activeCell="C68" sqref="C68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57" style="316" customWidth="1"/>
    <col min="4" max="4" width="16.86328125" style="316" hidden="1" customWidth="1"/>
    <col min="5" max="8" width="12.86328125" style="316" hidden="1" customWidth="1"/>
    <col min="9" max="10" width="12.86328125" style="316" customWidth="1"/>
    <col min="11" max="11" width="12.86328125" style="318" bestFit="1" customWidth="1"/>
    <col min="12" max="12" width="14.59765625" style="319" bestFit="1" customWidth="1"/>
    <col min="13" max="13" width="10.73046875" style="2768" bestFit="1" customWidth="1"/>
    <col min="14" max="14" width="10.73046875" style="2769" bestFit="1" customWidth="1"/>
    <col min="15" max="16384" width="9" style="316"/>
  </cols>
  <sheetData>
    <row r="1" spans="1:15" s="2725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20.25" customHeight="1">
      <c r="A2" s="3280" t="s">
        <v>709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34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 t="s">
        <v>762</v>
      </c>
      <c r="N4" s="1908" t="s">
        <v>707</v>
      </c>
    </row>
    <row r="5" spans="1:15" ht="15.75" customHeight="1" outlineLevel="1">
      <c r="A5" s="2737">
        <v>6409</v>
      </c>
      <c r="B5" s="2738">
        <v>5137</v>
      </c>
      <c r="C5" s="2739"/>
      <c r="D5" s="2740"/>
      <c r="E5" s="2740"/>
      <c r="F5" s="2740"/>
      <c r="G5" s="2740"/>
      <c r="H5" s="2740"/>
      <c r="I5" s="2740"/>
      <c r="J5" s="2740"/>
      <c r="K5" s="2740"/>
      <c r="L5" s="2741">
        <f>+K5-J5</f>
        <v>0</v>
      </c>
      <c r="M5" s="2731"/>
      <c r="N5" s="1908"/>
    </row>
    <row r="6" spans="1:15" ht="15.75" customHeight="1" outlineLevel="1">
      <c r="A6" s="2742">
        <v>6409</v>
      </c>
      <c r="B6" s="2743">
        <v>5137</v>
      </c>
      <c r="C6" s="2744"/>
      <c r="D6" s="2745"/>
      <c r="E6" s="2745"/>
      <c r="F6" s="2745"/>
      <c r="G6" s="2745"/>
      <c r="H6" s="2745"/>
      <c r="I6" s="2745"/>
      <c r="J6" s="2745"/>
      <c r="K6" s="2745"/>
      <c r="L6" s="2746">
        <f t="shared" ref="L6:L69" si="0">+K6-J6</f>
        <v>0</v>
      </c>
      <c r="M6" s="2731"/>
      <c r="N6" s="1908"/>
    </row>
    <row r="7" spans="1:15" s="432" customFormat="1" ht="16.5" customHeight="1" thickBot="1">
      <c r="A7" s="3278" t="s">
        <v>1197</v>
      </c>
      <c r="B7" s="3279"/>
      <c r="C7" s="2747"/>
      <c r="D7" s="2748">
        <v>0</v>
      </c>
      <c r="E7" s="2748">
        <v>0</v>
      </c>
      <c r="F7" s="2748">
        <v>0</v>
      </c>
      <c r="G7" s="2748">
        <v>0</v>
      </c>
      <c r="H7" s="2748">
        <v>0</v>
      </c>
      <c r="I7" s="2748">
        <v>0</v>
      </c>
      <c r="J7" s="2748">
        <v>0</v>
      </c>
      <c r="K7" s="2748">
        <f t="shared" ref="K7" si="1">SUM(K5:K6)</f>
        <v>0</v>
      </c>
      <c r="L7" s="2749">
        <f t="shared" si="0"/>
        <v>0</v>
      </c>
      <c r="M7" s="285">
        <f>'Výdaje kapitol celkem'!P21</f>
        <v>0</v>
      </c>
      <c r="N7" s="2750">
        <f>+M7-K7</f>
        <v>0</v>
      </c>
      <c r="O7" s="329"/>
    </row>
    <row r="8" spans="1:15" ht="15.75" customHeight="1" outlineLevel="1">
      <c r="A8" s="2737">
        <v>6112</v>
      </c>
      <c r="B8" s="2738">
        <v>5137</v>
      </c>
      <c r="C8" s="2739"/>
      <c r="D8" s="2740">
        <v>50000</v>
      </c>
      <c r="E8" s="2740">
        <v>50000</v>
      </c>
      <c r="F8" s="2740">
        <v>50000</v>
      </c>
      <c r="G8" s="2740">
        <v>50000</v>
      </c>
      <c r="H8" s="2740">
        <v>50000</v>
      </c>
      <c r="I8" s="2740">
        <v>50000</v>
      </c>
      <c r="J8" s="2740">
        <v>50000</v>
      </c>
      <c r="K8" s="2740">
        <f>+[2]Zastupitelé!$B$11</f>
        <v>0</v>
      </c>
      <c r="L8" s="2741">
        <f t="shared" si="0"/>
        <v>-50000</v>
      </c>
      <c r="M8" s="2731"/>
      <c r="N8" s="2750"/>
    </row>
    <row r="9" spans="1:15" ht="15.75" customHeight="1" outlineLevel="1">
      <c r="A9" s="2742">
        <v>6112</v>
      </c>
      <c r="B9" s="2743">
        <v>5137</v>
      </c>
      <c r="C9" s="2744"/>
      <c r="D9" s="2745">
        <v>0</v>
      </c>
      <c r="E9" s="2745">
        <v>0</v>
      </c>
      <c r="F9" s="2745">
        <v>0</v>
      </c>
      <c r="G9" s="2745">
        <v>0</v>
      </c>
      <c r="H9" s="2745">
        <v>0</v>
      </c>
      <c r="I9" s="2745">
        <v>0</v>
      </c>
      <c r="J9" s="2745">
        <v>0</v>
      </c>
      <c r="K9" s="2745">
        <f>+[2]Zastupitelé!$B$12</f>
        <v>0</v>
      </c>
      <c r="L9" s="2746">
        <f t="shared" si="0"/>
        <v>0</v>
      </c>
      <c r="M9" s="2731"/>
      <c r="N9" s="2750"/>
    </row>
    <row r="10" spans="1:15" s="432" customFormat="1" ht="16.5" customHeight="1" thickBot="1">
      <c r="A10" s="3278" t="s">
        <v>1196</v>
      </c>
      <c r="B10" s="3279"/>
      <c r="C10" s="2747"/>
      <c r="D10" s="2748">
        <v>50000</v>
      </c>
      <c r="E10" s="2748">
        <v>50000</v>
      </c>
      <c r="F10" s="2748">
        <v>50000</v>
      </c>
      <c r="G10" s="2748">
        <v>50000</v>
      </c>
      <c r="H10" s="2748">
        <v>50000</v>
      </c>
      <c r="I10" s="2748">
        <v>50000</v>
      </c>
      <c r="J10" s="2748">
        <v>50000</v>
      </c>
      <c r="K10" s="2748">
        <f t="shared" ref="K10" si="2">SUM(K8:K9)</f>
        <v>0</v>
      </c>
      <c r="L10" s="2749">
        <f t="shared" si="0"/>
        <v>-50000</v>
      </c>
      <c r="M10" s="285">
        <f>'Výdaje kapitol celkem'!R21</f>
        <v>0</v>
      </c>
      <c r="N10" s="2750">
        <f>+M10-K10</f>
        <v>0</v>
      </c>
      <c r="O10" s="329"/>
    </row>
    <row r="11" spans="1:15" ht="15.75" hidden="1" customHeight="1" outlineLevel="1">
      <c r="A11" s="2737">
        <v>6117</v>
      </c>
      <c r="B11" s="2738">
        <v>5137</v>
      </c>
      <c r="C11" s="2739"/>
      <c r="D11" s="2740"/>
      <c r="E11" s="2740"/>
      <c r="F11" s="2740"/>
      <c r="G11" s="2740"/>
      <c r="H11" s="2740"/>
      <c r="I11" s="2740"/>
      <c r="J11" s="2740"/>
      <c r="K11" s="2740"/>
      <c r="L11" s="2741">
        <f t="shared" si="0"/>
        <v>0</v>
      </c>
      <c r="M11" s="2731"/>
      <c r="N11" s="2750"/>
    </row>
    <row r="12" spans="1:15" ht="15.75" hidden="1" customHeight="1" outlineLevel="1">
      <c r="A12" s="2742">
        <v>6117</v>
      </c>
      <c r="B12" s="2743">
        <v>5137</v>
      </c>
      <c r="C12" s="2744"/>
      <c r="D12" s="2745"/>
      <c r="E12" s="2745"/>
      <c r="F12" s="2745"/>
      <c r="G12" s="2745"/>
      <c r="H12" s="2745"/>
      <c r="I12" s="2745"/>
      <c r="J12" s="2745"/>
      <c r="K12" s="2745"/>
      <c r="L12" s="2746">
        <f t="shared" si="0"/>
        <v>0</v>
      </c>
      <c r="M12" s="2731"/>
      <c r="N12" s="2750"/>
    </row>
    <row r="13" spans="1:15" s="432" customFormat="1" ht="16.5" customHeight="1" collapsed="1" thickBot="1">
      <c r="A13" s="3278" t="s">
        <v>1195</v>
      </c>
      <c r="B13" s="3279"/>
      <c r="C13" s="2747"/>
      <c r="D13" s="2748">
        <v>0</v>
      </c>
      <c r="E13" s="2748">
        <v>0</v>
      </c>
      <c r="F13" s="2748">
        <v>0</v>
      </c>
      <c r="G13" s="2748">
        <v>0</v>
      </c>
      <c r="H13" s="2748">
        <v>0</v>
      </c>
      <c r="I13" s="2748">
        <v>0</v>
      </c>
      <c r="J13" s="2748">
        <v>0</v>
      </c>
      <c r="K13" s="2748">
        <f t="shared" ref="K13" si="3">SUM(K11:K12)</f>
        <v>0</v>
      </c>
      <c r="L13" s="2749">
        <f t="shared" si="0"/>
        <v>0</v>
      </c>
      <c r="M13" s="285">
        <f>'Výdaje kapitol celkem'!S21</f>
        <v>0</v>
      </c>
      <c r="N13" s="2750">
        <f>+M13-K13</f>
        <v>0</v>
      </c>
      <c r="O13" s="329"/>
    </row>
    <row r="14" spans="1:15" ht="13.5" outlineLevel="1">
      <c r="A14" s="2737">
        <v>6171</v>
      </c>
      <c r="B14" s="2738">
        <v>5137</v>
      </c>
      <c r="C14" s="2739" t="s">
        <v>2212</v>
      </c>
      <c r="D14" s="2740">
        <v>344000</v>
      </c>
      <c r="E14" s="2740">
        <v>344000</v>
      </c>
      <c r="F14" s="2740">
        <v>344000</v>
      </c>
      <c r="G14" s="2740">
        <v>344000</v>
      </c>
      <c r="H14" s="2740">
        <v>344000</v>
      </c>
      <c r="I14" s="2740">
        <v>344000</v>
      </c>
      <c r="J14" s="2740">
        <v>132000</v>
      </c>
      <c r="K14" s="2740">
        <f>+[2]Správa!$B$12</f>
        <v>32000</v>
      </c>
      <c r="L14" s="2741">
        <f t="shared" si="0"/>
        <v>-100000</v>
      </c>
      <c r="M14" s="2731"/>
      <c r="N14" s="2750"/>
    </row>
    <row r="15" spans="1:15" ht="15.75" customHeight="1" outlineLevel="1">
      <c r="A15" s="2742">
        <v>6171</v>
      </c>
      <c r="B15" s="2743">
        <v>5137</v>
      </c>
      <c r="C15" s="2744" t="s">
        <v>2213</v>
      </c>
      <c r="D15" s="2745">
        <v>350000</v>
      </c>
      <c r="E15" s="2745">
        <v>350000</v>
      </c>
      <c r="F15" s="2745">
        <v>350000</v>
      </c>
      <c r="G15" s="2745">
        <v>350000</v>
      </c>
      <c r="H15" s="2745">
        <v>350000</v>
      </c>
      <c r="I15" s="2745">
        <v>350000</v>
      </c>
      <c r="J15" s="2745">
        <v>166000</v>
      </c>
      <c r="K15" s="2745">
        <f>+[2]Správa!$B$13</f>
        <v>118000</v>
      </c>
      <c r="L15" s="2746">
        <f t="shared" si="0"/>
        <v>-48000</v>
      </c>
      <c r="M15" s="2731"/>
      <c r="N15" s="2750"/>
    </row>
    <row r="16" spans="1:15" ht="15.75" customHeight="1" outlineLevel="1">
      <c r="A16" s="2742">
        <v>6171</v>
      </c>
      <c r="B16" s="2743">
        <v>5137</v>
      </c>
      <c r="C16" s="2744"/>
      <c r="D16" s="2745"/>
      <c r="E16" s="2745"/>
      <c r="F16" s="2745"/>
      <c r="G16" s="2745"/>
      <c r="H16" s="2745"/>
      <c r="I16" s="2745"/>
      <c r="J16" s="2745"/>
      <c r="K16" s="2745"/>
      <c r="L16" s="2746">
        <f t="shared" si="0"/>
        <v>0</v>
      </c>
      <c r="M16" s="2731"/>
      <c r="N16" s="2750"/>
    </row>
    <row r="17" spans="1:15" s="432" customFormat="1" ht="16.5" customHeight="1" thickBot="1">
      <c r="A17" s="3278" t="s">
        <v>213</v>
      </c>
      <c r="B17" s="3279"/>
      <c r="C17" s="2747"/>
      <c r="D17" s="2748">
        <v>694000</v>
      </c>
      <c r="E17" s="2748">
        <v>694000</v>
      </c>
      <c r="F17" s="2748">
        <v>694000</v>
      </c>
      <c r="G17" s="2748">
        <v>694000</v>
      </c>
      <c r="H17" s="2748">
        <v>694000</v>
      </c>
      <c r="I17" s="2748">
        <v>694000</v>
      </c>
      <c r="J17" s="2748">
        <v>298000</v>
      </c>
      <c r="K17" s="2748">
        <f t="shared" ref="K17" si="4">SUM(K14:K16)</f>
        <v>150000</v>
      </c>
      <c r="L17" s="2749">
        <f t="shared" si="0"/>
        <v>-148000</v>
      </c>
      <c r="M17" s="285">
        <f>'Výdaje kapitol celkem'!T21</f>
        <v>150000</v>
      </c>
      <c r="N17" s="2750">
        <f>+M17-K17</f>
        <v>0</v>
      </c>
      <c r="O17" s="329"/>
    </row>
    <row r="18" spans="1:15" ht="15.75" customHeight="1" outlineLevel="1">
      <c r="A18" s="2737">
        <v>4351</v>
      </c>
      <c r="B18" s="2738">
        <v>5137</v>
      </c>
      <c r="C18" s="2739"/>
      <c r="D18" s="2740">
        <v>0</v>
      </c>
      <c r="E18" s="2740">
        <v>0</v>
      </c>
      <c r="F18" s="2740">
        <v>0</v>
      </c>
      <c r="G18" s="2740">
        <v>0</v>
      </c>
      <c r="H18" s="2740">
        <v>0</v>
      </c>
      <c r="I18" s="2740">
        <v>0</v>
      </c>
      <c r="J18" s="2740">
        <v>0</v>
      </c>
      <c r="K18" s="2740">
        <f>+'[2]Pečovatelská služba'!$B$12</f>
        <v>0</v>
      </c>
      <c r="L18" s="2741">
        <f t="shared" si="0"/>
        <v>0</v>
      </c>
      <c r="M18" s="2731"/>
      <c r="N18" s="2750"/>
      <c r="O18" s="329"/>
    </row>
    <row r="19" spans="1:15" ht="15.75" customHeight="1" outlineLevel="1">
      <c r="A19" s="2742">
        <v>4351</v>
      </c>
      <c r="B19" s="2743">
        <v>5137</v>
      </c>
      <c r="C19" s="2744"/>
      <c r="D19" s="2745">
        <v>50000</v>
      </c>
      <c r="E19" s="2745">
        <v>50000</v>
      </c>
      <c r="F19" s="2745">
        <v>50000</v>
      </c>
      <c r="G19" s="2745">
        <v>50000</v>
      </c>
      <c r="H19" s="2745">
        <v>50000</v>
      </c>
      <c r="I19" s="2745">
        <v>50000</v>
      </c>
      <c r="J19" s="2745">
        <v>50000</v>
      </c>
      <c r="K19" s="2745">
        <f>+'[2]Pečovatelská služba'!$B$13</f>
        <v>50000</v>
      </c>
      <c r="L19" s="2751">
        <f t="shared" si="0"/>
        <v>0</v>
      </c>
      <c r="M19" s="2731"/>
      <c r="N19" s="2750"/>
      <c r="O19" s="329"/>
    </row>
    <row r="20" spans="1:15" s="432" customFormat="1" ht="16.5" customHeight="1" thickBot="1">
      <c r="A20" s="3278" t="s">
        <v>214</v>
      </c>
      <c r="B20" s="3279"/>
      <c r="C20" s="2747"/>
      <c r="D20" s="2748">
        <v>50000</v>
      </c>
      <c r="E20" s="2748">
        <v>50000</v>
      </c>
      <c r="F20" s="2748">
        <v>50000</v>
      </c>
      <c r="G20" s="2748">
        <v>50000</v>
      </c>
      <c r="H20" s="2748">
        <v>50000</v>
      </c>
      <c r="I20" s="2748">
        <v>50000</v>
      </c>
      <c r="J20" s="2748">
        <v>50000</v>
      </c>
      <c r="K20" s="2748">
        <f t="shared" ref="K20" si="5">SUM(K18:K19)</f>
        <v>50000</v>
      </c>
      <c r="L20" s="2749">
        <f t="shared" si="0"/>
        <v>0</v>
      </c>
      <c r="M20" s="285">
        <f>'Výdaje kapitol celkem'!Y21</f>
        <v>50000</v>
      </c>
      <c r="N20" s="2750">
        <f>+M20-K20</f>
        <v>0</v>
      </c>
      <c r="O20" s="329"/>
    </row>
    <row r="21" spans="1:15" ht="15.75" customHeight="1" outlineLevel="1">
      <c r="A21" s="2737">
        <v>2212</v>
      </c>
      <c r="B21" s="2738">
        <v>5137</v>
      </c>
      <c r="C21" s="2739" t="s">
        <v>2330</v>
      </c>
      <c r="D21" s="2740">
        <v>200000</v>
      </c>
      <c r="E21" s="2740">
        <v>200000</v>
      </c>
      <c r="F21" s="2740">
        <v>200000</v>
      </c>
      <c r="G21" s="2740">
        <v>200000</v>
      </c>
      <c r="H21" s="2740">
        <v>200000</v>
      </c>
      <c r="I21" s="2740">
        <v>200000</v>
      </c>
      <c r="J21" s="2740">
        <v>200000</v>
      </c>
      <c r="K21" s="2740">
        <f>+[3]Silnice!$B$5</f>
        <v>200000</v>
      </c>
      <c r="L21" s="2741">
        <f t="shared" si="0"/>
        <v>0</v>
      </c>
      <c r="M21" s="2731"/>
      <c r="N21" s="2750"/>
      <c r="O21" s="329"/>
    </row>
    <row r="22" spans="1:15" ht="15.75" customHeight="1" outlineLevel="1">
      <c r="A22" s="2742">
        <v>2212</v>
      </c>
      <c r="B22" s="2743">
        <v>5137</v>
      </c>
      <c r="C22" s="2744"/>
      <c r="D22" s="2745">
        <v>0</v>
      </c>
      <c r="E22" s="2745">
        <v>0</v>
      </c>
      <c r="F22" s="2745">
        <v>0</v>
      </c>
      <c r="G22" s="2745">
        <v>0</v>
      </c>
      <c r="H22" s="2745">
        <v>0</v>
      </c>
      <c r="I22" s="2745">
        <v>0</v>
      </c>
      <c r="J22" s="2745">
        <v>0</v>
      </c>
      <c r="K22" s="2745">
        <f>+[3]Silnice!$B$6</f>
        <v>0</v>
      </c>
      <c r="L22" s="2746">
        <f t="shared" si="0"/>
        <v>0</v>
      </c>
      <c r="M22" s="2731"/>
      <c r="N22" s="2750">
        <f>+M22-K22</f>
        <v>0</v>
      </c>
      <c r="O22" s="329"/>
    </row>
    <row r="23" spans="1:15" ht="15.75" customHeight="1" outlineLevel="1">
      <c r="A23" s="2742">
        <v>2212</v>
      </c>
      <c r="B23" s="2743">
        <v>5137</v>
      </c>
      <c r="C23" s="2744"/>
      <c r="D23" s="2745"/>
      <c r="E23" s="2745"/>
      <c r="F23" s="2745"/>
      <c r="G23" s="2745"/>
      <c r="H23" s="2745"/>
      <c r="I23" s="2745"/>
      <c r="J23" s="2745"/>
      <c r="K23" s="2745"/>
      <c r="L23" s="2751">
        <f t="shared" si="0"/>
        <v>0</v>
      </c>
      <c r="M23" s="2731"/>
      <c r="N23" s="2750"/>
      <c r="O23" s="329"/>
    </row>
    <row r="24" spans="1:15" s="432" customFormat="1" ht="16.5" customHeight="1" thickBot="1">
      <c r="A24" s="3278" t="s">
        <v>631</v>
      </c>
      <c r="B24" s="3279"/>
      <c r="C24" s="2747"/>
      <c r="D24" s="2748">
        <v>200000</v>
      </c>
      <c r="E24" s="2748">
        <v>200000</v>
      </c>
      <c r="F24" s="2748">
        <v>200000</v>
      </c>
      <c r="G24" s="2748">
        <v>200000</v>
      </c>
      <c r="H24" s="2748">
        <v>200000</v>
      </c>
      <c r="I24" s="2748">
        <v>200000</v>
      </c>
      <c r="J24" s="2748">
        <v>200000</v>
      </c>
      <c r="K24" s="2748">
        <f t="shared" ref="K24" si="6">SUM(K21:K23)</f>
        <v>200000</v>
      </c>
      <c r="L24" s="2749">
        <f t="shared" si="0"/>
        <v>0</v>
      </c>
      <c r="M24" s="285">
        <f>'Výdaje kapitol celkem'!CJ21</f>
        <v>200000</v>
      </c>
      <c r="N24" s="2750">
        <f>+M24-K24</f>
        <v>0</v>
      </c>
      <c r="O24" s="329"/>
    </row>
    <row r="25" spans="1:15" ht="15.75" customHeight="1" outlineLevel="1">
      <c r="A25" s="2737" t="s">
        <v>197</v>
      </c>
      <c r="B25" s="2738">
        <v>5137</v>
      </c>
      <c r="C25" s="2739" t="s">
        <v>2376</v>
      </c>
      <c r="D25" s="2740">
        <v>80000</v>
      </c>
      <c r="E25" s="2740">
        <v>80000</v>
      </c>
      <c r="F25" s="2740">
        <v>80000</v>
      </c>
      <c r="G25" s="2740">
        <v>80000</v>
      </c>
      <c r="H25" s="2740">
        <v>80000</v>
      </c>
      <c r="I25" s="2740">
        <v>80000</v>
      </c>
      <c r="J25" s="2740">
        <v>80000</v>
      </c>
      <c r="K25" s="2740">
        <f>+'[2]Městská policie'!$B$19</f>
        <v>46000</v>
      </c>
      <c r="L25" s="2741">
        <f t="shared" si="0"/>
        <v>-34000</v>
      </c>
      <c r="M25" s="2731"/>
      <c r="N25" s="2750"/>
      <c r="O25" s="329"/>
    </row>
    <row r="26" spans="1:15" ht="15.75" customHeight="1" outlineLevel="1">
      <c r="A26" s="2742" t="s">
        <v>197</v>
      </c>
      <c r="B26" s="2743">
        <v>5137</v>
      </c>
      <c r="C26" s="2744" t="s">
        <v>2988</v>
      </c>
      <c r="D26" s="2745">
        <v>88000</v>
      </c>
      <c r="E26" s="2745">
        <v>88000</v>
      </c>
      <c r="F26" s="2745">
        <v>88000</v>
      </c>
      <c r="G26" s="2745">
        <v>88000</v>
      </c>
      <c r="H26" s="2745">
        <v>88000</v>
      </c>
      <c r="I26" s="2745">
        <v>88000</v>
      </c>
      <c r="J26" s="2745">
        <v>88000</v>
      </c>
      <c r="K26" s="2745">
        <f>+'[2]Městská policie'!$B$20</f>
        <v>43000</v>
      </c>
      <c r="L26" s="2746">
        <f t="shared" si="0"/>
        <v>-45000</v>
      </c>
      <c r="M26" s="2731"/>
      <c r="N26" s="2750"/>
      <c r="O26" s="329"/>
    </row>
    <row r="27" spans="1:15" ht="15.75" customHeight="1" outlineLevel="1">
      <c r="A27" s="2742" t="s">
        <v>197</v>
      </c>
      <c r="B27" s="2743">
        <v>5137</v>
      </c>
      <c r="C27" s="2744" t="s">
        <v>2377</v>
      </c>
      <c r="D27" s="2745">
        <v>10000</v>
      </c>
      <c r="E27" s="2745">
        <v>10000</v>
      </c>
      <c r="F27" s="2745">
        <v>10000</v>
      </c>
      <c r="G27" s="2745">
        <v>10000</v>
      </c>
      <c r="H27" s="2745">
        <v>10000</v>
      </c>
      <c r="I27" s="2745">
        <v>10000</v>
      </c>
      <c r="J27" s="2745">
        <v>10000</v>
      </c>
      <c r="K27" s="2745">
        <f>+'[2]Městská policie'!$B$21</f>
        <v>10000</v>
      </c>
      <c r="L27" s="2746">
        <f t="shared" si="0"/>
        <v>0</v>
      </c>
      <c r="M27" s="2731"/>
      <c r="N27" s="2750"/>
      <c r="O27" s="329"/>
    </row>
    <row r="28" spans="1:15" ht="15.75" customHeight="1" outlineLevel="1">
      <c r="A28" s="2742" t="s">
        <v>197</v>
      </c>
      <c r="B28" s="2743">
        <v>5137</v>
      </c>
      <c r="C28" s="2744" t="s">
        <v>2989</v>
      </c>
      <c r="D28" s="2745">
        <v>155000</v>
      </c>
      <c r="E28" s="2745">
        <v>155000</v>
      </c>
      <c r="F28" s="2745">
        <v>155000</v>
      </c>
      <c r="G28" s="2745">
        <v>155000</v>
      </c>
      <c r="H28" s="2745">
        <v>155000</v>
      </c>
      <c r="I28" s="2745">
        <v>155000</v>
      </c>
      <c r="J28" s="2745">
        <v>155000</v>
      </c>
      <c r="K28" s="2745">
        <f>+'[2]Městská policie'!$B$22</f>
        <v>155000</v>
      </c>
      <c r="L28" s="2746">
        <f t="shared" si="0"/>
        <v>0</v>
      </c>
      <c r="M28" s="2731"/>
      <c r="N28" s="2750"/>
      <c r="O28" s="329"/>
    </row>
    <row r="29" spans="1:15" ht="15.75" customHeight="1" outlineLevel="1">
      <c r="A29" s="2742" t="s">
        <v>197</v>
      </c>
      <c r="B29" s="2743">
        <v>5137</v>
      </c>
      <c r="C29" s="2744"/>
      <c r="D29" s="2745">
        <v>0</v>
      </c>
      <c r="E29" s="2745">
        <v>0</v>
      </c>
      <c r="F29" s="2745">
        <v>0</v>
      </c>
      <c r="G29" s="2745">
        <v>0</v>
      </c>
      <c r="H29" s="2745">
        <v>0</v>
      </c>
      <c r="I29" s="2745">
        <v>0</v>
      </c>
      <c r="J29" s="2745">
        <v>0</v>
      </c>
      <c r="K29" s="2745">
        <f>+'[2]Městská policie'!$B$23</f>
        <v>0</v>
      </c>
      <c r="L29" s="2751">
        <f t="shared" si="0"/>
        <v>0</v>
      </c>
      <c r="M29" s="2731"/>
      <c r="N29" s="2750"/>
      <c r="O29" s="329"/>
    </row>
    <row r="30" spans="1:15" s="432" customFormat="1" ht="13.9" thickBot="1">
      <c r="A30" s="3278" t="s">
        <v>1169</v>
      </c>
      <c r="B30" s="3279"/>
      <c r="C30" s="2747"/>
      <c r="D30" s="2748">
        <v>333000</v>
      </c>
      <c r="E30" s="2748">
        <v>333000</v>
      </c>
      <c r="F30" s="2748">
        <v>333000</v>
      </c>
      <c r="G30" s="2748">
        <v>333000</v>
      </c>
      <c r="H30" s="2748">
        <v>333000</v>
      </c>
      <c r="I30" s="2748">
        <v>333000</v>
      </c>
      <c r="J30" s="2748">
        <v>333000</v>
      </c>
      <c r="K30" s="2748">
        <f t="shared" ref="K30" si="7">SUM(K25:K29)</f>
        <v>254000</v>
      </c>
      <c r="L30" s="2749">
        <f t="shared" si="0"/>
        <v>-79000</v>
      </c>
      <c r="M30" s="285">
        <f>'Výdaje kapitol celkem'!AB21</f>
        <v>254000</v>
      </c>
      <c r="N30" s="2750">
        <f>+M30-K30</f>
        <v>0</v>
      </c>
      <c r="O30" s="329"/>
    </row>
    <row r="31" spans="1:15" ht="15.75" hidden="1" customHeight="1" outlineLevel="1">
      <c r="A31" s="2737">
        <v>3319</v>
      </c>
      <c r="B31" s="2738">
        <v>5137</v>
      </c>
      <c r="C31" s="2739"/>
      <c r="D31" s="2740"/>
      <c r="E31" s="2740"/>
      <c r="F31" s="2740"/>
      <c r="G31" s="2740"/>
      <c r="H31" s="2740"/>
      <c r="I31" s="2740"/>
      <c r="J31" s="2740"/>
      <c r="K31" s="2740"/>
      <c r="L31" s="2741">
        <f t="shared" si="0"/>
        <v>0</v>
      </c>
      <c r="M31" s="2731"/>
      <c r="N31" s="2750"/>
      <c r="O31" s="329"/>
    </row>
    <row r="32" spans="1:15" ht="15.75" hidden="1" customHeight="1" outlineLevel="1">
      <c r="A32" s="2742">
        <v>3319</v>
      </c>
      <c r="B32" s="2743">
        <v>5137</v>
      </c>
      <c r="C32" s="2744"/>
      <c r="D32" s="2752"/>
      <c r="E32" s="2752"/>
      <c r="F32" s="2752"/>
      <c r="G32" s="2752"/>
      <c r="H32" s="2752"/>
      <c r="I32" s="2752"/>
      <c r="J32" s="2752"/>
      <c r="K32" s="2752"/>
      <c r="L32" s="2751">
        <f t="shared" si="0"/>
        <v>0</v>
      </c>
      <c r="M32" s="2731"/>
      <c r="N32" s="2750"/>
      <c r="O32" s="329"/>
    </row>
    <row r="33" spans="1:15" s="432" customFormat="1" ht="16.5" customHeight="1" collapsed="1" thickBot="1">
      <c r="A33" s="3278" t="s">
        <v>1168</v>
      </c>
      <c r="B33" s="3279"/>
      <c r="C33" s="2747"/>
      <c r="D33" s="2748">
        <v>0</v>
      </c>
      <c r="E33" s="2748">
        <v>0</v>
      </c>
      <c r="F33" s="2748">
        <v>0</v>
      </c>
      <c r="G33" s="2748">
        <v>0</v>
      </c>
      <c r="H33" s="2748">
        <v>0</v>
      </c>
      <c r="I33" s="2748">
        <v>0</v>
      </c>
      <c r="J33" s="2748">
        <v>0</v>
      </c>
      <c r="K33" s="2748">
        <f t="shared" ref="K33" si="8">SUM(K31:K32)</f>
        <v>0</v>
      </c>
      <c r="L33" s="2749">
        <f t="shared" si="0"/>
        <v>0</v>
      </c>
      <c r="M33" s="285">
        <f>'Výdaje kapitol celkem'!AC21</f>
        <v>0</v>
      </c>
      <c r="N33" s="2750">
        <f>+M33-K33</f>
        <v>0</v>
      </c>
      <c r="O33" s="329"/>
    </row>
    <row r="34" spans="1:15" ht="15.75" customHeight="1" outlineLevel="1">
      <c r="A34" s="2737">
        <v>3314</v>
      </c>
      <c r="B34" s="2738">
        <v>5137</v>
      </c>
      <c r="C34" s="2739" t="s">
        <v>2221</v>
      </c>
      <c r="D34" s="2740">
        <v>0</v>
      </c>
      <c r="E34" s="2740">
        <v>0</v>
      </c>
      <c r="F34" s="2740">
        <v>0</v>
      </c>
      <c r="G34" s="2740">
        <v>0</v>
      </c>
      <c r="H34" s="2740">
        <v>0</v>
      </c>
      <c r="I34" s="2740">
        <v>0</v>
      </c>
      <c r="J34" s="2740">
        <v>0</v>
      </c>
      <c r="K34" s="2740">
        <f>+[3]Knihovna!$B$5</f>
        <v>0</v>
      </c>
      <c r="L34" s="2741">
        <f t="shared" si="0"/>
        <v>0</v>
      </c>
      <c r="M34" s="2731"/>
      <c r="N34" s="2750"/>
      <c r="O34" s="329"/>
    </row>
    <row r="35" spans="1:15" ht="15.75" customHeight="1" outlineLevel="1">
      <c r="A35" s="2742">
        <v>3314</v>
      </c>
      <c r="B35" s="2743">
        <v>5137</v>
      </c>
      <c r="C35" s="2744"/>
      <c r="D35" s="2745">
        <v>0</v>
      </c>
      <c r="E35" s="2745">
        <v>0</v>
      </c>
      <c r="F35" s="2745">
        <v>0</v>
      </c>
      <c r="G35" s="2745">
        <v>0</v>
      </c>
      <c r="H35" s="2745">
        <v>0</v>
      </c>
      <c r="I35" s="2745">
        <v>0</v>
      </c>
      <c r="J35" s="2745">
        <v>0</v>
      </c>
      <c r="K35" s="2745">
        <f>+[3]Knihovna!$B$6</f>
        <v>0</v>
      </c>
      <c r="L35" s="2751">
        <f t="shared" si="0"/>
        <v>0</v>
      </c>
      <c r="M35" s="2731"/>
      <c r="N35" s="2750"/>
      <c r="O35" s="329"/>
    </row>
    <row r="36" spans="1:15" ht="15.75" customHeight="1" outlineLevel="1">
      <c r="A36" s="2742">
        <v>3314</v>
      </c>
      <c r="B36" s="2743">
        <v>5137</v>
      </c>
      <c r="C36" s="2744" t="s">
        <v>2381</v>
      </c>
      <c r="D36" s="2745">
        <v>80000</v>
      </c>
      <c r="E36" s="2745">
        <v>80000</v>
      </c>
      <c r="F36" s="2745">
        <v>80000</v>
      </c>
      <c r="G36" s="2745">
        <v>80000</v>
      </c>
      <c r="H36" s="2745">
        <v>80000</v>
      </c>
      <c r="I36" s="2745">
        <v>80000</v>
      </c>
      <c r="J36" s="2745">
        <v>80000</v>
      </c>
      <c r="K36" s="2745">
        <f>+[2]Knihovna!$B$12</f>
        <v>35000</v>
      </c>
      <c r="L36" s="2751">
        <f t="shared" si="0"/>
        <v>-45000</v>
      </c>
      <c r="M36" s="2731"/>
      <c r="N36" s="2750"/>
      <c r="O36" s="329"/>
    </row>
    <row r="37" spans="1:15" ht="15.75" customHeight="1" outlineLevel="1">
      <c r="A37" s="2742">
        <v>3314</v>
      </c>
      <c r="B37" s="2743">
        <v>5137</v>
      </c>
      <c r="C37" s="2744" t="s">
        <v>2382</v>
      </c>
      <c r="D37" s="2745">
        <v>50000</v>
      </c>
      <c r="E37" s="2745">
        <v>50000</v>
      </c>
      <c r="F37" s="2745">
        <v>50000</v>
      </c>
      <c r="G37" s="2745">
        <v>50000</v>
      </c>
      <c r="H37" s="2745">
        <v>50000</v>
      </c>
      <c r="I37" s="2745">
        <v>50000</v>
      </c>
      <c r="J37" s="2745">
        <v>50000</v>
      </c>
      <c r="K37" s="2745">
        <f>+[2]Knihovna!$B$13</f>
        <v>50000</v>
      </c>
      <c r="L37" s="2751">
        <f t="shared" si="0"/>
        <v>0</v>
      </c>
      <c r="M37" s="2731"/>
      <c r="N37" s="2750"/>
      <c r="O37" s="329"/>
    </row>
    <row r="38" spans="1:15" ht="15.75" customHeight="1" outlineLevel="1">
      <c r="A38" s="2742">
        <v>3314</v>
      </c>
      <c r="B38" s="2743">
        <v>5137</v>
      </c>
      <c r="C38" s="2744" t="s">
        <v>2383</v>
      </c>
      <c r="D38" s="2745">
        <v>15000</v>
      </c>
      <c r="E38" s="2745">
        <v>15000</v>
      </c>
      <c r="F38" s="2745">
        <v>15000</v>
      </c>
      <c r="G38" s="2745">
        <v>15000</v>
      </c>
      <c r="H38" s="2745">
        <v>15000</v>
      </c>
      <c r="I38" s="2745">
        <v>15000</v>
      </c>
      <c r="J38" s="2745">
        <v>15000</v>
      </c>
      <c r="K38" s="2745">
        <f>+[2]Knihovna!$B$14</f>
        <v>15000</v>
      </c>
      <c r="L38" s="2751">
        <f t="shared" si="0"/>
        <v>0</v>
      </c>
      <c r="M38" s="2731"/>
      <c r="N38" s="2750"/>
      <c r="O38" s="329"/>
    </row>
    <row r="39" spans="1:15" ht="15.75" customHeight="1" outlineLevel="1">
      <c r="A39" s="2753"/>
      <c r="B39" s="2754"/>
      <c r="C39" s="2755"/>
      <c r="D39" s="2756"/>
      <c r="E39" s="2756"/>
      <c r="F39" s="2756"/>
      <c r="G39" s="2756"/>
      <c r="H39" s="2756"/>
      <c r="I39" s="2756"/>
      <c r="J39" s="2756"/>
      <c r="K39" s="2756"/>
      <c r="L39" s="2757">
        <f t="shared" si="0"/>
        <v>0</v>
      </c>
      <c r="M39" s="2731"/>
      <c r="N39" s="2750"/>
      <c r="O39" s="329"/>
    </row>
    <row r="40" spans="1:15" s="432" customFormat="1" ht="16.5" customHeight="1" thickBot="1">
      <c r="A40" s="3278" t="s">
        <v>1170</v>
      </c>
      <c r="B40" s="3279"/>
      <c r="C40" s="2747"/>
      <c r="D40" s="2748">
        <v>145000</v>
      </c>
      <c r="E40" s="2748">
        <v>145000</v>
      </c>
      <c r="F40" s="2748">
        <v>145000</v>
      </c>
      <c r="G40" s="2748">
        <v>145000</v>
      </c>
      <c r="H40" s="2748">
        <v>145000</v>
      </c>
      <c r="I40" s="2748">
        <v>145000</v>
      </c>
      <c r="J40" s="2748">
        <v>145000</v>
      </c>
      <c r="K40" s="2748">
        <f>SUM(K34:K39)</f>
        <v>100000</v>
      </c>
      <c r="L40" s="2749">
        <f t="shared" si="0"/>
        <v>-45000</v>
      </c>
      <c r="M40" s="285">
        <f>'Výdaje kapitol celkem'!AF21</f>
        <v>100000</v>
      </c>
      <c r="N40" s="2750">
        <f>+M40-K40</f>
        <v>0</v>
      </c>
      <c r="O40" s="329"/>
    </row>
    <row r="41" spans="1:15" ht="15.75" hidden="1" customHeight="1" outlineLevel="1">
      <c r="A41" s="2737">
        <v>3349</v>
      </c>
      <c r="B41" s="2738">
        <v>5137</v>
      </c>
      <c r="C41" s="2739"/>
      <c r="D41" s="2740"/>
      <c r="E41" s="2740"/>
      <c r="F41" s="2740"/>
      <c r="G41" s="2740"/>
      <c r="H41" s="2740"/>
      <c r="I41" s="2740"/>
      <c r="J41" s="2740"/>
      <c r="K41" s="2740"/>
      <c r="L41" s="2741">
        <f t="shared" si="0"/>
        <v>0</v>
      </c>
      <c r="M41" s="2731"/>
      <c r="N41" s="2750"/>
      <c r="O41" s="329"/>
    </row>
    <row r="42" spans="1:15" s="432" customFormat="1" ht="16.5" customHeight="1" collapsed="1" thickBot="1">
      <c r="A42" s="3278" t="s">
        <v>1194</v>
      </c>
      <c r="B42" s="3279"/>
      <c r="C42" s="2747"/>
      <c r="D42" s="2748">
        <v>0</v>
      </c>
      <c r="E42" s="2748">
        <v>0</v>
      </c>
      <c r="F42" s="2748">
        <v>0</v>
      </c>
      <c r="G42" s="2748">
        <v>0</v>
      </c>
      <c r="H42" s="2748">
        <v>0</v>
      </c>
      <c r="I42" s="2748">
        <v>0</v>
      </c>
      <c r="J42" s="2748">
        <v>0</v>
      </c>
      <c r="K42" s="2748">
        <f t="shared" ref="K42" si="9">SUM(K41)</f>
        <v>0</v>
      </c>
      <c r="L42" s="2749">
        <f t="shared" si="0"/>
        <v>0</v>
      </c>
      <c r="M42" s="285">
        <f>'Výdaje kapitol celkem'!AG21</f>
        <v>0</v>
      </c>
      <c r="N42" s="2750">
        <f>+M42-K42</f>
        <v>0</v>
      </c>
      <c r="O42" s="329"/>
    </row>
    <row r="43" spans="1:15" ht="15.75" customHeight="1" outlineLevel="1">
      <c r="A43" s="2737">
        <v>3359</v>
      </c>
      <c r="B43" s="2738">
        <v>5137</v>
      </c>
      <c r="C43" s="2739" t="s">
        <v>2223</v>
      </c>
      <c r="D43" s="2740">
        <v>120000</v>
      </c>
      <c r="E43" s="2740">
        <v>120000</v>
      </c>
      <c r="F43" s="2740">
        <v>120000</v>
      </c>
      <c r="G43" s="2740">
        <v>120000</v>
      </c>
      <c r="H43" s="2740">
        <v>120000</v>
      </c>
      <c r="I43" s="2740">
        <v>120000</v>
      </c>
      <c r="J43" s="2740">
        <v>120000</v>
      </c>
      <c r="K43" s="2740">
        <f>+[2]Kultura!$B$5</f>
        <v>121000</v>
      </c>
      <c r="L43" s="2741">
        <f t="shared" si="0"/>
        <v>1000</v>
      </c>
      <c r="M43" s="2731"/>
      <c r="N43" s="2750"/>
      <c r="O43" s="329"/>
    </row>
    <row r="44" spans="1:15" ht="15.75" customHeight="1" outlineLevel="1">
      <c r="A44" s="2742">
        <v>3359</v>
      </c>
      <c r="B44" s="2743">
        <v>5137</v>
      </c>
      <c r="C44" s="2744"/>
      <c r="D44" s="2745">
        <v>0</v>
      </c>
      <c r="E44" s="2745">
        <v>0</v>
      </c>
      <c r="F44" s="2745">
        <v>0</v>
      </c>
      <c r="G44" s="2745">
        <v>0</v>
      </c>
      <c r="H44" s="2745">
        <v>0</v>
      </c>
      <c r="I44" s="2745">
        <v>0</v>
      </c>
      <c r="J44" s="2745">
        <v>0</v>
      </c>
      <c r="K44" s="2745">
        <f>+[2]Kultura!$B$6</f>
        <v>0</v>
      </c>
      <c r="L44" s="2746">
        <f t="shared" si="0"/>
        <v>0</v>
      </c>
      <c r="M44" s="2731"/>
      <c r="N44" s="2750">
        <f>+M44-K44</f>
        <v>0</v>
      </c>
      <c r="O44" s="329"/>
    </row>
    <row r="45" spans="1:15" ht="16.5" customHeight="1" outlineLevel="1">
      <c r="A45" s="2758">
        <v>3359</v>
      </c>
      <c r="B45" s="2743">
        <v>5137</v>
      </c>
      <c r="C45" s="2759"/>
      <c r="D45" s="2760"/>
      <c r="E45" s="2760"/>
      <c r="F45" s="2760"/>
      <c r="G45" s="2760"/>
      <c r="H45" s="2760"/>
      <c r="I45" s="2760"/>
      <c r="J45" s="2760"/>
      <c r="K45" s="2760"/>
      <c r="L45" s="2761">
        <f t="shared" si="0"/>
        <v>0</v>
      </c>
      <c r="M45" s="2731"/>
      <c r="N45" s="2750"/>
      <c r="O45" s="329"/>
    </row>
    <row r="46" spans="1:15" s="432" customFormat="1" ht="16.5" customHeight="1" thickBot="1">
      <c r="A46" s="3278" t="s">
        <v>1193</v>
      </c>
      <c r="B46" s="3279"/>
      <c r="C46" s="2747"/>
      <c r="D46" s="2748">
        <v>120000</v>
      </c>
      <c r="E46" s="2748">
        <v>120000</v>
      </c>
      <c r="F46" s="2748">
        <v>120000</v>
      </c>
      <c r="G46" s="2748">
        <v>120000</v>
      </c>
      <c r="H46" s="2748">
        <v>120000</v>
      </c>
      <c r="I46" s="2748">
        <v>120000</v>
      </c>
      <c r="J46" s="2748">
        <v>120000</v>
      </c>
      <c r="K46" s="2748">
        <f>SUM(K43:K45)</f>
        <v>121000</v>
      </c>
      <c r="L46" s="2749">
        <f t="shared" si="0"/>
        <v>1000</v>
      </c>
      <c r="M46" s="285">
        <f>'Výdaje kapitol celkem'!AH21</f>
        <v>121000</v>
      </c>
      <c r="N46" s="2750">
        <f>+M46-K46</f>
        <v>0</v>
      </c>
      <c r="O46" s="329"/>
    </row>
    <row r="47" spans="1:15" ht="15.75" customHeight="1" outlineLevel="1">
      <c r="A47" s="2737">
        <v>3612</v>
      </c>
      <c r="B47" s="2738">
        <v>5137</v>
      </c>
      <c r="C47" s="2739" t="s">
        <v>75</v>
      </c>
      <c r="D47" s="2740">
        <v>100000</v>
      </c>
      <c r="E47" s="2740">
        <v>100000</v>
      </c>
      <c r="F47" s="2740">
        <v>100000</v>
      </c>
      <c r="G47" s="2740">
        <v>100000</v>
      </c>
      <c r="H47" s="2740">
        <v>100000</v>
      </c>
      <c r="I47" s="2740">
        <v>100000</v>
      </c>
      <c r="J47" s="2740">
        <v>100000</v>
      </c>
      <c r="K47" s="2740">
        <f>+[3]Byty!$B$5</f>
        <v>0</v>
      </c>
      <c r="L47" s="2741">
        <f t="shared" si="0"/>
        <v>-100000</v>
      </c>
      <c r="M47" s="2731"/>
      <c r="N47" s="2750"/>
      <c r="O47" s="329"/>
    </row>
    <row r="48" spans="1:15" ht="15.75" customHeight="1" outlineLevel="1">
      <c r="A48" s="2742">
        <v>3612</v>
      </c>
      <c r="B48" s="2743">
        <v>5137</v>
      </c>
      <c r="C48" s="2744" t="s">
        <v>2182</v>
      </c>
      <c r="D48" s="2745">
        <v>300000</v>
      </c>
      <c r="E48" s="2745">
        <v>300000</v>
      </c>
      <c r="F48" s="2745">
        <v>300000</v>
      </c>
      <c r="G48" s="2745">
        <v>300000</v>
      </c>
      <c r="H48" s="2745">
        <v>300000</v>
      </c>
      <c r="I48" s="2745">
        <v>300000</v>
      </c>
      <c r="J48" s="2745">
        <v>300000</v>
      </c>
      <c r="K48" s="2745">
        <f>+[3]Byty!$B$6</f>
        <v>100000</v>
      </c>
      <c r="L48" s="2746">
        <f t="shared" si="0"/>
        <v>-200000</v>
      </c>
      <c r="M48" s="2731"/>
      <c r="N48" s="2750"/>
      <c r="O48" s="329"/>
    </row>
    <row r="49" spans="1:15" s="432" customFormat="1" ht="16.5" customHeight="1" thickBot="1">
      <c r="A49" s="3278" t="s">
        <v>200</v>
      </c>
      <c r="B49" s="3279"/>
      <c r="C49" s="2747"/>
      <c r="D49" s="2748">
        <v>400000</v>
      </c>
      <c r="E49" s="2748">
        <v>400000</v>
      </c>
      <c r="F49" s="2748">
        <v>400000</v>
      </c>
      <c r="G49" s="2748">
        <v>400000</v>
      </c>
      <c r="H49" s="2748">
        <v>400000</v>
      </c>
      <c r="I49" s="2748">
        <v>400000</v>
      </c>
      <c r="J49" s="2748">
        <v>400000</v>
      </c>
      <c r="K49" s="2748">
        <f t="shared" ref="K49" si="10">SUM(K47:K48)</f>
        <v>100000</v>
      </c>
      <c r="L49" s="2749">
        <f t="shared" si="0"/>
        <v>-300000</v>
      </c>
      <c r="M49" s="285">
        <f>'Výdaje kapitol celkem'!AI21</f>
        <v>100000</v>
      </c>
      <c r="N49" s="2750">
        <f>+M49-K49</f>
        <v>0</v>
      </c>
      <c r="O49" s="329"/>
    </row>
    <row r="50" spans="1:15" ht="16.5" customHeight="1" outlineLevel="1">
      <c r="A50" s="2758" t="s">
        <v>199</v>
      </c>
      <c r="B50" s="2754">
        <v>5137</v>
      </c>
      <c r="C50" s="2759" t="s">
        <v>2186</v>
      </c>
      <c r="D50" s="2760">
        <v>30000</v>
      </c>
      <c r="E50" s="2760">
        <v>30000</v>
      </c>
      <c r="F50" s="2760">
        <v>30000</v>
      </c>
      <c r="G50" s="2760">
        <v>30000</v>
      </c>
      <c r="H50" s="2760">
        <v>30000</v>
      </c>
      <c r="I50" s="2760">
        <v>30000</v>
      </c>
      <c r="J50" s="2760">
        <v>50000</v>
      </c>
      <c r="K50" s="2760">
        <f>+[3]DPS!$B$5</f>
        <v>50000</v>
      </c>
      <c r="L50" s="2761">
        <f t="shared" si="0"/>
        <v>0</v>
      </c>
      <c r="M50" s="2731"/>
      <c r="N50" s="2750"/>
      <c r="O50" s="329"/>
    </row>
    <row r="51" spans="1:15" ht="16.5" customHeight="1" outlineLevel="1">
      <c r="A51" s="2758" t="s">
        <v>199</v>
      </c>
      <c r="B51" s="2754">
        <v>5137</v>
      </c>
      <c r="C51" s="2759"/>
      <c r="D51" s="2760">
        <v>0</v>
      </c>
      <c r="E51" s="2760">
        <v>0</v>
      </c>
      <c r="F51" s="2760">
        <v>0</v>
      </c>
      <c r="G51" s="2760">
        <v>0</v>
      </c>
      <c r="H51" s="2760">
        <v>0</v>
      </c>
      <c r="I51" s="2760">
        <v>0</v>
      </c>
      <c r="J51" s="2760">
        <v>85000</v>
      </c>
      <c r="K51" s="2760">
        <f>+[3]DPS!$B$6</f>
        <v>40000</v>
      </c>
      <c r="L51" s="2761">
        <f t="shared" si="0"/>
        <v>-45000</v>
      </c>
      <c r="M51" s="2731"/>
      <c r="N51" s="2750"/>
      <c r="O51" s="329"/>
    </row>
    <row r="52" spans="1:15" ht="16.5" customHeight="1" thickBot="1">
      <c r="A52" s="3278" t="s">
        <v>201</v>
      </c>
      <c r="B52" s="3279"/>
      <c r="C52" s="2747"/>
      <c r="D52" s="2748">
        <v>30000</v>
      </c>
      <c r="E52" s="2748">
        <v>30000</v>
      </c>
      <c r="F52" s="2748">
        <v>30000</v>
      </c>
      <c r="G52" s="2748">
        <v>30000</v>
      </c>
      <c r="H52" s="2748">
        <v>30000</v>
      </c>
      <c r="I52" s="2748">
        <v>30000</v>
      </c>
      <c r="J52" s="2748">
        <v>135000</v>
      </c>
      <c r="K52" s="2748">
        <f t="shared" ref="K52" si="11">SUM(K50:K51)</f>
        <v>90000</v>
      </c>
      <c r="L52" s="2749">
        <f t="shared" si="0"/>
        <v>-45000</v>
      </c>
      <c r="M52" s="285">
        <f>'Výdaje kapitol celkem'!AL21</f>
        <v>90000</v>
      </c>
      <c r="N52" s="2750">
        <f>+M52-K52</f>
        <v>0</v>
      </c>
      <c r="O52" s="329"/>
    </row>
    <row r="53" spans="1:15" ht="16.5" hidden="1" customHeight="1" outlineLevel="1">
      <c r="A53" s="2742" t="s">
        <v>1241</v>
      </c>
      <c r="B53" s="2743">
        <v>5137</v>
      </c>
      <c r="C53" s="2744"/>
      <c r="D53" s="2745">
        <v>0</v>
      </c>
      <c r="E53" s="2745">
        <v>0</v>
      </c>
      <c r="F53" s="2745">
        <v>0</v>
      </c>
      <c r="G53" s="2745">
        <v>0</v>
      </c>
      <c r="H53" s="2745">
        <v>0</v>
      </c>
      <c r="I53" s="2745">
        <v>0</v>
      </c>
      <c r="J53" s="2745">
        <v>0</v>
      </c>
      <c r="K53" s="2745">
        <f>+'[3]Hotel Budka'!$B$5</f>
        <v>0</v>
      </c>
      <c r="L53" s="2751">
        <f t="shared" si="0"/>
        <v>0</v>
      </c>
      <c r="M53" s="2731"/>
      <c r="N53" s="2750"/>
      <c r="O53" s="329"/>
    </row>
    <row r="54" spans="1:15" ht="16.5" hidden="1" customHeight="1" outlineLevel="1">
      <c r="A54" s="2758" t="s">
        <v>1241</v>
      </c>
      <c r="B54" s="2754">
        <v>5137</v>
      </c>
      <c r="C54" s="2759"/>
      <c r="D54" s="2760">
        <v>0</v>
      </c>
      <c r="E54" s="2760">
        <v>0</v>
      </c>
      <c r="F54" s="2760">
        <v>0</v>
      </c>
      <c r="G54" s="2760">
        <v>0</v>
      </c>
      <c r="H54" s="2760">
        <v>0</v>
      </c>
      <c r="I54" s="2760">
        <v>0</v>
      </c>
      <c r="J54" s="2760">
        <v>0</v>
      </c>
      <c r="K54" s="2760">
        <f>+'[3]Hotel Budka'!$B$6</f>
        <v>0</v>
      </c>
      <c r="L54" s="2762">
        <f t="shared" si="0"/>
        <v>0</v>
      </c>
      <c r="M54" s="2731"/>
      <c r="N54" s="2750"/>
      <c r="O54" s="329"/>
    </row>
    <row r="55" spans="1:15" ht="19.5" customHeight="1" collapsed="1" thickBot="1">
      <c r="A55" s="3278" t="s">
        <v>1429</v>
      </c>
      <c r="B55" s="3279"/>
      <c r="C55" s="2747"/>
      <c r="D55" s="2748">
        <v>0</v>
      </c>
      <c r="E55" s="2748">
        <v>0</v>
      </c>
      <c r="F55" s="2748">
        <v>0</v>
      </c>
      <c r="G55" s="2748">
        <v>0</v>
      </c>
      <c r="H55" s="2748">
        <v>0</v>
      </c>
      <c r="I55" s="2748">
        <v>0</v>
      </c>
      <c r="J55" s="2748">
        <v>0</v>
      </c>
      <c r="K55" s="2748">
        <f t="shared" ref="K55" si="12">SUM(K53:K54)</f>
        <v>0</v>
      </c>
      <c r="L55" s="2749">
        <f t="shared" si="0"/>
        <v>0</v>
      </c>
      <c r="M55" s="285">
        <f>'Výdaje kapitol celkem'!AD21</f>
        <v>0</v>
      </c>
      <c r="N55" s="2750">
        <f>+M55-K55</f>
        <v>0</v>
      </c>
      <c r="O55" s="329"/>
    </row>
    <row r="56" spans="1:15" ht="16.5" customHeight="1" outlineLevel="1">
      <c r="A56" s="2742" t="s">
        <v>171</v>
      </c>
      <c r="B56" s="2743">
        <v>5137</v>
      </c>
      <c r="C56" s="2744" t="s">
        <v>2554</v>
      </c>
      <c r="D56" s="2745">
        <v>100000</v>
      </c>
      <c r="E56" s="2745">
        <v>100000</v>
      </c>
      <c r="F56" s="2745">
        <v>100000</v>
      </c>
      <c r="G56" s="2745">
        <v>100000</v>
      </c>
      <c r="H56" s="2745">
        <v>100000</v>
      </c>
      <c r="I56" s="2745">
        <v>100000</v>
      </c>
      <c r="J56" s="2745">
        <v>100000</v>
      </c>
      <c r="K56" s="2745">
        <f>+[3]koupaliště!$B$5</f>
        <v>30000</v>
      </c>
      <c r="L56" s="2751">
        <f t="shared" si="0"/>
        <v>-70000</v>
      </c>
      <c r="M56" s="2731"/>
      <c r="N56" s="2750"/>
      <c r="O56" s="329"/>
    </row>
    <row r="57" spans="1:15" ht="16.5" customHeight="1" outlineLevel="1">
      <c r="A57" s="2758" t="s">
        <v>171</v>
      </c>
      <c r="B57" s="2754">
        <v>5137</v>
      </c>
      <c r="C57" s="2759"/>
      <c r="D57" s="2760"/>
      <c r="E57" s="2760"/>
      <c r="F57" s="2760"/>
      <c r="G57" s="2760"/>
      <c r="H57" s="2760"/>
      <c r="I57" s="2760"/>
      <c r="J57" s="2760"/>
      <c r="K57" s="2760"/>
      <c r="L57" s="2762">
        <f t="shared" si="0"/>
        <v>0</v>
      </c>
      <c r="M57" s="2731"/>
      <c r="N57" s="2750"/>
      <c r="O57" s="329"/>
    </row>
    <row r="58" spans="1:15" ht="19.5" customHeight="1" thickBot="1">
      <c r="A58" s="3278" t="s">
        <v>2553</v>
      </c>
      <c r="B58" s="3279"/>
      <c r="C58" s="2747"/>
      <c r="D58" s="2748">
        <v>100000</v>
      </c>
      <c r="E58" s="2748">
        <v>100000</v>
      </c>
      <c r="F58" s="2748">
        <v>100000</v>
      </c>
      <c r="G58" s="2748">
        <v>100000</v>
      </c>
      <c r="H58" s="2748">
        <v>100000</v>
      </c>
      <c r="I58" s="2748">
        <v>100000</v>
      </c>
      <c r="J58" s="2748">
        <v>100000</v>
      </c>
      <c r="K58" s="2748">
        <f t="shared" ref="K58" si="13">SUM(K56:K57)</f>
        <v>30000</v>
      </c>
      <c r="L58" s="2749">
        <f t="shared" si="0"/>
        <v>-70000</v>
      </c>
      <c r="M58" s="285">
        <f>+'Výdaje kapitol celkem'!AX21</f>
        <v>30000</v>
      </c>
      <c r="N58" s="2750">
        <f>+M58-K58</f>
        <v>0</v>
      </c>
      <c r="O58" s="329"/>
    </row>
    <row r="59" spans="1:15" ht="16.5" hidden="1" customHeight="1" outlineLevel="1">
      <c r="A59" s="2742">
        <v>3613</v>
      </c>
      <c r="B59" s="2743">
        <v>5137</v>
      </c>
      <c r="C59" s="2744"/>
      <c r="D59" s="2745"/>
      <c r="E59" s="2745"/>
      <c r="F59" s="2745"/>
      <c r="G59" s="2745"/>
      <c r="H59" s="2745"/>
      <c r="I59" s="2745"/>
      <c r="J59" s="2745"/>
      <c r="K59" s="2745"/>
      <c r="L59" s="2751">
        <f t="shared" si="0"/>
        <v>0</v>
      </c>
      <c r="M59" s="2731"/>
      <c r="N59" s="2750"/>
      <c r="O59" s="329"/>
    </row>
    <row r="60" spans="1:15" ht="16.5" hidden="1" customHeight="1" outlineLevel="1">
      <c r="A60" s="2758">
        <v>3613</v>
      </c>
      <c r="B60" s="2754">
        <v>5137</v>
      </c>
      <c r="C60" s="2759"/>
      <c r="D60" s="2760"/>
      <c r="E60" s="2760"/>
      <c r="F60" s="2760"/>
      <c r="G60" s="2760"/>
      <c r="H60" s="2760"/>
      <c r="I60" s="2760"/>
      <c r="J60" s="2760"/>
      <c r="K60" s="2760"/>
      <c r="L60" s="2762">
        <f t="shared" si="0"/>
        <v>0</v>
      </c>
      <c r="M60" s="2731"/>
      <c r="N60" s="2750"/>
      <c r="O60" s="329"/>
    </row>
    <row r="61" spans="1:15" ht="19.5" customHeight="1" collapsed="1" thickBot="1">
      <c r="A61" s="3278" t="s">
        <v>202</v>
      </c>
      <c r="B61" s="3279"/>
      <c r="C61" s="2747"/>
      <c r="D61" s="2748">
        <v>0</v>
      </c>
      <c r="E61" s="2748">
        <v>0</v>
      </c>
      <c r="F61" s="2748">
        <v>0</v>
      </c>
      <c r="G61" s="2748">
        <v>0</v>
      </c>
      <c r="H61" s="2748">
        <v>0</v>
      </c>
      <c r="I61" s="2748">
        <v>0</v>
      </c>
      <c r="J61" s="2748">
        <v>0</v>
      </c>
      <c r="K61" s="2748">
        <f t="shared" ref="K61" si="14">SUM(K59:K60)</f>
        <v>0</v>
      </c>
      <c r="L61" s="2749">
        <f t="shared" si="0"/>
        <v>0</v>
      </c>
      <c r="M61" s="285">
        <f>'Výdaje kapitol celkem'!AO21</f>
        <v>0</v>
      </c>
      <c r="N61" s="2750">
        <f>+M61-K61</f>
        <v>0</v>
      </c>
      <c r="O61" s="329"/>
    </row>
    <row r="62" spans="1:15" ht="20.25" hidden="1" customHeight="1" outlineLevel="1">
      <c r="A62" s="2742">
        <v>3631</v>
      </c>
      <c r="B62" s="2743">
        <v>5137</v>
      </c>
      <c r="C62" s="2744"/>
      <c r="D62" s="2745"/>
      <c r="E62" s="2745"/>
      <c r="F62" s="2745"/>
      <c r="G62" s="2745"/>
      <c r="H62" s="2745"/>
      <c r="I62" s="2745"/>
      <c r="J62" s="2745"/>
      <c r="K62" s="2745"/>
      <c r="L62" s="2751">
        <f t="shared" si="0"/>
        <v>0</v>
      </c>
      <c r="M62" s="2731"/>
      <c r="N62" s="2750"/>
      <c r="O62" s="329"/>
    </row>
    <row r="63" spans="1:15" ht="20.25" hidden="1" customHeight="1" outlineLevel="1">
      <c r="A63" s="2742">
        <v>3631</v>
      </c>
      <c r="B63" s="2743">
        <v>5137</v>
      </c>
      <c r="C63" s="2744"/>
      <c r="D63" s="2745"/>
      <c r="E63" s="2745"/>
      <c r="F63" s="2745"/>
      <c r="G63" s="2745"/>
      <c r="H63" s="2745"/>
      <c r="I63" s="2745"/>
      <c r="J63" s="2745"/>
      <c r="K63" s="2745"/>
      <c r="L63" s="2751">
        <f t="shared" si="0"/>
        <v>0</v>
      </c>
      <c r="M63" s="2731"/>
      <c r="N63" s="2750"/>
      <c r="O63" s="329"/>
    </row>
    <row r="64" spans="1:15" ht="20.25" hidden="1" customHeight="1" outlineLevel="1">
      <c r="A64" s="2758">
        <v>3631</v>
      </c>
      <c r="B64" s="2754">
        <v>5137</v>
      </c>
      <c r="C64" s="2744"/>
      <c r="D64" s="2760"/>
      <c r="E64" s="2760"/>
      <c r="F64" s="2760"/>
      <c r="G64" s="2760"/>
      <c r="H64" s="2760"/>
      <c r="I64" s="2760"/>
      <c r="J64" s="2760"/>
      <c r="K64" s="2760"/>
      <c r="L64" s="2762">
        <f t="shared" si="0"/>
        <v>0</v>
      </c>
      <c r="M64" s="2731"/>
      <c r="N64" s="2750"/>
      <c r="O64" s="329"/>
    </row>
    <row r="65" spans="1:15" ht="20.25" customHeight="1" collapsed="1" thickBot="1">
      <c r="A65" s="3278" t="s">
        <v>630</v>
      </c>
      <c r="B65" s="3279"/>
      <c r="C65" s="2747"/>
      <c r="D65" s="2748">
        <v>0</v>
      </c>
      <c r="E65" s="2748">
        <v>0</v>
      </c>
      <c r="F65" s="2748">
        <v>0</v>
      </c>
      <c r="G65" s="2748">
        <v>0</v>
      </c>
      <c r="H65" s="2748">
        <v>0</v>
      </c>
      <c r="I65" s="2748">
        <v>0</v>
      </c>
      <c r="J65" s="2748">
        <v>0</v>
      </c>
      <c r="K65" s="2748">
        <f t="shared" ref="K65" si="15">SUM(K62:K64)</f>
        <v>0</v>
      </c>
      <c r="L65" s="2749">
        <f t="shared" si="0"/>
        <v>0</v>
      </c>
      <c r="M65" s="285">
        <f>'Výdaje kapitol celkem'!AR11</f>
        <v>0</v>
      </c>
      <c r="N65" s="2750">
        <f>+M65-K65</f>
        <v>0</v>
      </c>
      <c r="O65" s="329"/>
    </row>
    <row r="66" spans="1:15" ht="20.25" customHeight="1" outlineLevel="1">
      <c r="A66" s="2742">
        <v>5512</v>
      </c>
      <c r="B66" s="2743">
        <v>5137</v>
      </c>
      <c r="C66" s="2744" t="s">
        <v>2386</v>
      </c>
      <c r="D66" s="2745">
        <v>110000</v>
      </c>
      <c r="E66" s="2745">
        <v>110000</v>
      </c>
      <c r="F66" s="2745">
        <v>110000</v>
      </c>
      <c r="G66" s="2745">
        <v>110000</v>
      </c>
      <c r="H66" s="2745">
        <v>110000</v>
      </c>
      <c r="I66" s="2745">
        <v>110000</v>
      </c>
      <c r="J66" s="2745">
        <v>110000</v>
      </c>
      <c r="K66" s="2745">
        <f>+[2]Hasiči!$B$12</f>
        <v>110000</v>
      </c>
      <c r="L66" s="2751">
        <f t="shared" si="0"/>
        <v>0</v>
      </c>
      <c r="M66" s="2731"/>
      <c r="N66" s="2750"/>
      <c r="O66" s="329"/>
    </row>
    <row r="67" spans="1:15" ht="20.25" customHeight="1" outlineLevel="1">
      <c r="A67" s="2742">
        <v>5512</v>
      </c>
      <c r="B67" s="2743">
        <v>5137</v>
      </c>
      <c r="C67" s="2744" t="s">
        <v>2387</v>
      </c>
      <c r="D67" s="2745">
        <v>35000</v>
      </c>
      <c r="E67" s="2745">
        <v>35000</v>
      </c>
      <c r="F67" s="2745">
        <v>35000</v>
      </c>
      <c r="G67" s="2745">
        <v>35000</v>
      </c>
      <c r="H67" s="2745">
        <v>35000</v>
      </c>
      <c r="I67" s="2745">
        <v>35000</v>
      </c>
      <c r="J67" s="2745">
        <v>35000</v>
      </c>
      <c r="K67" s="2745">
        <f>+[2]Hasiči!$B$13</f>
        <v>35000</v>
      </c>
      <c r="L67" s="2751">
        <f t="shared" si="0"/>
        <v>0</v>
      </c>
      <c r="M67" s="2731"/>
      <c r="N67" s="2750"/>
      <c r="O67" s="329"/>
    </row>
    <row r="68" spans="1:15" ht="20.25" customHeight="1" outlineLevel="1">
      <c r="A68" s="2742">
        <v>5512</v>
      </c>
      <c r="B68" s="2743">
        <v>5137</v>
      </c>
      <c r="C68" s="2744" t="s">
        <v>2388</v>
      </c>
      <c r="D68" s="2745">
        <v>50000</v>
      </c>
      <c r="E68" s="2745">
        <v>50000</v>
      </c>
      <c r="F68" s="2745">
        <v>50000</v>
      </c>
      <c r="G68" s="2745">
        <v>50000</v>
      </c>
      <c r="H68" s="2745">
        <v>50000</v>
      </c>
      <c r="I68" s="2745">
        <v>50000</v>
      </c>
      <c r="J68" s="2745">
        <v>50000</v>
      </c>
      <c r="K68" s="2745">
        <f>+[2]Hasiči!$B$14</f>
        <v>5000</v>
      </c>
      <c r="L68" s="2751">
        <f t="shared" si="0"/>
        <v>-45000</v>
      </c>
      <c r="M68" s="2731"/>
      <c r="N68" s="2750"/>
      <c r="O68" s="329"/>
    </row>
    <row r="69" spans="1:15" ht="12" customHeight="1" outlineLevel="1">
      <c r="A69" s="2758">
        <v>5512</v>
      </c>
      <c r="B69" s="2754">
        <v>5137</v>
      </c>
      <c r="C69" s="2744"/>
      <c r="D69" s="2760"/>
      <c r="E69" s="2760"/>
      <c r="F69" s="2760"/>
      <c r="G69" s="2760"/>
      <c r="H69" s="2760"/>
      <c r="I69" s="2760"/>
      <c r="J69" s="2760"/>
      <c r="K69" s="2760"/>
      <c r="L69" s="2762">
        <f t="shared" si="0"/>
        <v>0</v>
      </c>
      <c r="M69" s="2731"/>
      <c r="N69" s="2750">
        <f>+M69-K69</f>
        <v>0</v>
      </c>
      <c r="O69" s="329"/>
    </row>
    <row r="70" spans="1:15" ht="20.25" customHeight="1" thickBot="1">
      <c r="A70" s="3278" t="s">
        <v>203</v>
      </c>
      <c r="B70" s="3279"/>
      <c r="C70" s="2747"/>
      <c r="D70" s="2748">
        <v>195000</v>
      </c>
      <c r="E70" s="2748">
        <v>195000</v>
      </c>
      <c r="F70" s="2748">
        <v>195000</v>
      </c>
      <c r="G70" s="2748">
        <v>195000</v>
      </c>
      <c r="H70" s="2748">
        <v>195000</v>
      </c>
      <c r="I70" s="2748">
        <v>195000</v>
      </c>
      <c r="J70" s="2748">
        <v>195000</v>
      </c>
      <c r="K70" s="2748">
        <f t="shared" ref="K70" si="16">SUM(K66:K69)</f>
        <v>150000</v>
      </c>
      <c r="L70" s="2749">
        <f t="shared" ref="L70:L75" si="17">+K70-J70</f>
        <v>-45000</v>
      </c>
      <c r="M70" s="285">
        <f>'Výdaje kapitol celkem'!AR21</f>
        <v>150000</v>
      </c>
      <c r="N70" s="2750">
        <f>+M70-K70</f>
        <v>0</v>
      </c>
      <c r="O70" s="329"/>
    </row>
    <row r="71" spans="1:15" ht="20.25" hidden="1" customHeight="1" outlineLevel="1">
      <c r="A71" s="2737">
        <v>3114</v>
      </c>
      <c r="B71" s="2738">
        <v>5137</v>
      </c>
      <c r="C71" s="2739" t="s">
        <v>2227</v>
      </c>
      <c r="D71" s="2740">
        <v>0</v>
      </c>
      <c r="E71" s="2740">
        <v>0</v>
      </c>
      <c r="F71" s="2740">
        <v>0</v>
      </c>
      <c r="G71" s="2740">
        <v>0</v>
      </c>
      <c r="H71" s="2740">
        <v>0</v>
      </c>
      <c r="I71" s="2740">
        <v>0</v>
      </c>
      <c r="J71" s="2740">
        <v>0</v>
      </c>
      <c r="K71" s="2740">
        <f>+[2]č.p.65!$B$5</f>
        <v>0</v>
      </c>
      <c r="L71" s="2741">
        <f t="shared" si="17"/>
        <v>0</v>
      </c>
      <c r="M71" s="2731"/>
      <c r="N71" s="2750"/>
      <c r="O71" s="329"/>
    </row>
    <row r="72" spans="1:15" ht="20.25" hidden="1" customHeight="1" outlineLevel="1">
      <c r="A72" s="2758">
        <v>3114</v>
      </c>
      <c r="B72" s="2754">
        <v>5137</v>
      </c>
      <c r="C72" s="2759"/>
      <c r="D72" s="2760">
        <v>0</v>
      </c>
      <c r="E72" s="2760">
        <v>0</v>
      </c>
      <c r="F72" s="2760">
        <v>0</v>
      </c>
      <c r="G72" s="2760">
        <v>0</v>
      </c>
      <c r="H72" s="2760">
        <v>0</v>
      </c>
      <c r="I72" s="2760">
        <v>0</v>
      </c>
      <c r="J72" s="2760">
        <v>81000</v>
      </c>
      <c r="K72" s="2760">
        <f>+[2]č.p.65!$B$6</f>
        <v>81000</v>
      </c>
      <c r="L72" s="2762">
        <f t="shared" si="17"/>
        <v>0</v>
      </c>
      <c r="M72" s="2731"/>
      <c r="N72" s="2750"/>
      <c r="O72" s="329"/>
    </row>
    <row r="73" spans="1:15" ht="12.75" hidden="1" customHeight="1" outlineLevel="1">
      <c r="A73" s="2758">
        <v>3114</v>
      </c>
      <c r="B73" s="2754">
        <v>5137</v>
      </c>
      <c r="C73" s="2759"/>
      <c r="D73" s="2763"/>
      <c r="E73" s="2763"/>
      <c r="F73" s="2763"/>
      <c r="G73" s="2763"/>
      <c r="H73" s="2763"/>
      <c r="I73" s="2763"/>
      <c r="J73" s="2763"/>
      <c r="K73" s="2763"/>
      <c r="L73" s="2762">
        <f t="shared" si="17"/>
        <v>0</v>
      </c>
      <c r="M73" s="2731"/>
      <c r="N73" s="2750">
        <f>+M73-K73</f>
        <v>0</v>
      </c>
      <c r="O73" s="329"/>
    </row>
    <row r="74" spans="1:15" ht="20.25" customHeight="1" collapsed="1" thickBot="1">
      <c r="A74" s="3278" t="s">
        <v>212</v>
      </c>
      <c r="B74" s="3279"/>
      <c r="C74" s="2747"/>
      <c r="D74" s="2748">
        <v>0</v>
      </c>
      <c r="E74" s="2748">
        <v>0</v>
      </c>
      <c r="F74" s="2748">
        <v>0</v>
      </c>
      <c r="G74" s="2748">
        <v>0</v>
      </c>
      <c r="H74" s="2748">
        <v>0</v>
      </c>
      <c r="I74" s="2748">
        <v>0</v>
      </c>
      <c r="J74" s="2748">
        <v>81000</v>
      </c>
      <c r="K74" s="2748">
        <f t="shared" ref="K74" si="18">SUM(K71:K73)</f>
        <v>81000</v>
      </c>
      <c r="L74" s="2749">
        <f t="shared" si="17"/>
        <v>0</v>
      </c>
      <c r="M74" s="285">
        <f>'Výdaje kapitol celkem'!BM21</f>
        <v>81000</v>
      </c>
      <c r="N74" s="2750">
        <f>+M74-K74</f>
        <v>0</v>
      </c>
      <c r="O74" s="329"/>
    </row>
    <row r="75" spans="1:15" s="281" customFormat="1" ht="16.5" thickBot="1">
      <c r="A75" s="3282" t="s">
        <v>730</v>
      </c>
      <c r="B75" s="3283"/>
      <c r="C75" s="3283"/>
      <c r="D75" s="2764">
        <v>2317000</v>
      </c>
      <c r="E75" s="2764">
        <v>2317000</v>
      </c>
      <c r="F75" s="2764">
        <v>2317000</v>
      </c>
      <c r="G75" s="2764">
        <v>2317000</v>
      </c>
      <c r="H75" s="2764">
        <v>2317000</v>
      </c>
      <c r="I75" s="2764">
        <v>2317000</v>
      </c>
      <c r="J75" s="2764">
        <v>2107000</v>
      </c>
      <c r="K75" s="2764">
        <f>++K70+K52+K49+K46+K42+K40+K33+K30+K20+K17+K10+K7+K74+K13+K61+K65+K24+K55+K58</f>
        <v>1326000</v>
      </c>
      <c r="L75" s="2765">
        <f t="shared" si="17"/>
        <v>-781000</v>
      </c>
      <c r="M75" s="2766"/>
      <c r="N75" s="2767"/>
      <c r="O75" s="329"/>
    </row>
    <row r="76" spans="1:15">
      <c r="A76" s="109"/>
      <c r="B76" s="109"/>
      <c r="C76" s="109"/>
      <c r="D76" s="190">
        <v>2317000</v>
      </c>
      <c r="E76" s="190">
        <v>2317000</v>
      </c>
      <c r="F76" s="190">
        <v>2317000</v>
      </c>
      <c r="G76" s="190">
        <v>2317000</v>
      </c>
      <c r="H76" s="190">
        <v>2317000</v>
      </c>
      <c r="I76" s="190">
        <v>2317000</v>
      </c>
      <c r="J76" s="190">
        <v>2107000</v>
      </c>
      <c r="K76" s="190">
        <f>'Výdaje kapitol celkem'!K21</f>
        <v>1326000</v>
      </c>
      <c r="L76" s="284"/>
      <c r="M76" s="2731"/>
      <c r="N76" s="1908"/>
    </row>
    <row r="77" spans="1:15" s="323" customFormat="1">
      <c r="A77" s="180"/>
      <c r="B77" s="180"/>
      <c r="C77" s="180" t="s">
        <v>217</v>
      </c>
      <c r="D77" s="180">
        <v>0</v>
      </c>
      <c r="E77" s="180">
        <v>0</v>
      </c>
      <c r="F77" s="180">
        <v>0</v>
      </c>
      <c r="G77" s="180">
        <v>0</v>
      </c>
      <c r="H77" s="180">
        <v>0</v>
      </c>
      <c r="I77" s="180">
        <v>0</v>
      </c>
      <c r="J77" s="180">
        <v>0</v>
      </c>
      <c r="K77" s="284">
        <f>+K76-K75</f>
        <v>0</v>
      </c>
      <c r="L77" s="284"/>
      <c r="M77" s="2731"/>
      <c r="N77" s="1908"/>
    </row>
    <row r="78" spans="1:15">
      <c r="A78" s="2713" t="s">
        <v>545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90"/>
      <c r="L78" s="284"/>
      <c r="M78" s="2731"/>
      <c r="N78" s="1908"/>
    </row>
  </sheetData>
  <sheetProtection algorithmName="SHA-512" hashValue="Ofc8KGJAmuZmq7eONubq15auMxdit5nHItbk4/5PZPssm4Wxd+wJzTp4cnXpK3y8m8R1nIhNWgY3PIpbs3iGLg==" saltValue="APITSQJfVZXwrI4AvUfNR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  <mergeCell ref="A55:B55"/>
    <mergeCell ref="A65:B65"/>
    <mergeCell ref="A70:B70"/>
    <mergeCell ref="A74:B74"/>
    <mergeCell ref="A2:C2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166"/>
  <sheetViews>
    <sheetView topLeftCell="A127" zoomScale="89" zoomScaleNormal="89" workbookViewId="0">
      <selection activeCell="C134" sqref="C134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4" width="19.265625" style="316" hidden="1" customWidth="1"/>
    <col min="5" max="8" width="13" style="316" hidden="1" customWidth="1"/>
    <col min="9" max="10" width="13" style="316" customWidth="1"/>
    <col min="11" max="11" width="13" style="318" bestFit="1" customWidth="1"/>
    <col min="12" max="12" width="13.86328125" style="319" bestFit="1" customWidth="1"/>
    <col min="13" max="13" width="11.59765625" style="2768" bestFit="1" customWidth="1"/>
    <col min="14" max="14" width="10" style="2769" bestFit="1" customWidth="1"/>
    <col min="15" max="16384" width="9" style="316"/>
  </cols>
  <sheetData>
    <row r="1" spans="1:15" s="2725" customFormat="1" ht="16.149999999999999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16.149999999999999">
      <c r="A2" s="3280" t="s">
        <v>711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34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 t="s">
        <v>762</v>
      </c>
      <c r="N4" s="1908" t="s">
        <v>707</v>
      </c>
    </row>
    <row r="5" spans="1:15" outlineLevel="1">
      <c r="A5" s="2737">
        <v>6409</v>
      </c>
      <c r="B5" s="2738">
        <v>5139</v>
      </c>
      <c r="C5" s="2739"/>
      <c r="D5" s="2740"/>
      <c r="E5" s="2740"/>
      <c r="F5" s="2740"/>
      <c r="G5" s="2740"/>
      <c r="H5" s="2740"/>
      <c r="I5" s="2740"/>
      <c r="J5" s="2740"/>
      <c r="K5" s="2740"/>
      <c r="L5" s="2741">
        <f>+K5-J5</f>
        <v>0</v>
      </c>
      <c r="M5" s="2731"/>
      <c r="N5" s="1908"/>
    </row>
    <row r="6" spans="1:15" outlineLevel="1">
      <c r="A6" s="2742">
        <v>6409</v>
      </c>
      <c r="B6" s="2743">
        <v>5139</v>
      </c>
      <c r="C6" s="2744"/>
      <c r="D6" s="2745"/>
      <c r="E6" s="2745"/>
      <c r="F6" s="2745"/>
      <c r="G6" s="2745"/>
      <c r="H6" s="2745"/>
      <c r="I6" s="2745"/>
      <c r="J6" s="2745"/>
      <c r="K6" s="2745"/>
      <c r="L6" s="2746">
        <f t="shared" ref="L6:L69" si="0">+K6-J6</f>
        <v>0</v>
      </c>
      <c r="M6" s="2731"/>
      <c r="N6" s="1908"/>
    </row>
    <row r="7" spans="1:15" s="432" customFormat="1" ht="18" customHeight="1" thickBot="1">
      <c r="A7" s="3278" t="s">
        <v>1197</v>
      </c>
      <c r="B7" s="3279"/>
      <c r="C7" s="2747"/>
      <c r="D7" s="2748">
        <v>0</v>
      </c>
      <c r="E7" s="2748">
        <v>0</v>
      </c>
      <c r="F7" s="2748">
        <v>0</v>
      </c>
      <c r="G7" s="2748">
        <v>0</v>
      </c>
      <c r="H7" s="2748">
        <v>0</v>
      </c>
      <c r="I7" s="2748">
        <v>0</v>
      </c>
      <c r="J7" s="2748">
        <v>0</v>
      </c>
      <c r="K7" s="2748">
        <f t="shared" ref="K7" si="1">SUM(K5:K6)</f>
        <v>0</v>
      </c>
      <c r="L7" s="2749">
        <f t="shared" si="0"/>
        <v>0</v>
      </c>
      <c r="M7" s="285">
        <f>'Výdaje kapitol celkem'!P22</f>
        <v>0</v>
      </c>
      <c r="N7" s="2750">
        <f>+M7-K7</f>
        <v>0</v>
      </c>
      <c r="O7" s="329"/>
    </row>
    <row r="8" spans="1:15" ht="18" customHeight="1" outlineLevel="1">
      <c r="A8" s="2737">
        <v>6112</v>
      </c>
      <c r="B8" s="2738">
        <v>5139</v>
      </c>
      <c r="C8" s="2739" t="s">
        <v>2211</v>
      </c>
      <c r="D8" s="2740">
        <v>55000</v>
      </c>
      <c r="E8" s="2740">
        <v>55000</v>
      </c>
      <c r="F8" s="2740">
        <v>55000</v>
      </c>
      <c r="G8" s="2740">
        <v>55000</v>
      </c>
      <c r="H8" s="2740">
        <v>55000</v>
      </c>
      <c r="I8" s="2740">
        <v>55000</v>
      </c>
      <c r="J8" s="2740">
        <v>55000</v>
      </c>
      <c r="K8" s="2740">
        <f>+[2]Zastupitelé!$B$18</f>
        <v>52000</v>
      </c>
      <c r="L8" s="2741">
        <f t="shared" si="0"/>
        <v>-3000</v>
      </c>
      <c r="M8" s="2731"/>
      <c r="N8" s="1908"/>
    </row>
    <row r="9" spans="1:15" ht="18" customHeight="1" outlineLevel="1">
      <c r="A9" s="2742">
        <v>6112</v>
      </c>
      <c r="B9" s="2743">
        <v>5139</v>
      </c>
      <c r="C9" s="2744" t="s">
        <v>1781</v>
      </c>
      <c r="D9" s="2745">
        <v>0</v>
      </c>
      <c r="E9" s="2745">
        <v>0</v>
      </c>
      <c r="F9" s="2745">
        <v>0</v>
      </c>
      <c r="G9" s="2745">
        <v>0</v>
      </c>
      <c r="H9" s="2745">
        <v>0</v>
      </c>
      <c r="I9" s="2745">
        <v>0</v>
      </c>
      <c r="J9" s="2745">
        <v>0</v>
      </c>
      <c r="K9" s="2745">
        <f>+[2]Zastupitelé!$B$19</f>
        <v>0</v>
      </c>
      <c r="L9" s="2746">
        <f t="shared" si="0"/>
        <v>0</v>
      </c>
      <c r="M9" s="2731"/>
      <c r="N9" s="1908"/>
    </row>
    <row r="10" spans="1:15" s="432" customFormat="1" ht="18" customHeight="1" thickBot="1">
      <c r="A10" s="3278" t="s">
        <v>1196</v>
      </c>
      <c r="B10" s="3279"/>
      <c r="C10" s="2747"/>
      <c r="D10" s="2748">
        <v>55000</v>
      </c>
      <c r="E10" s="2748">
        <v>55000</v>
      </c>
      <c r="F10" s="2748">
        <v>55000</v>
      </c>
      <c r="G10" s="2748">
        <v>55000</v>
      </c>
      <c r="H10" s="2748">
        <v>55000</v>
      </c>
      <c r="I10" s="2748">
        <v>55000</v>
      </c>
      <c r="J10" s="2748">
        <v>55000</v>
      </c>
      <c r="K10" s="2748">
        <f>SUM(K8:K9)</f>
        <v>52000</v>
      </c>
      <c r="L10" s="2749">
        <f t="shared" si="0"/>
        <v>-3000</v>
      </c>
      <c r="M10" s="285">
        <f>'Výdaje kapitol celkem'!R22</f>
        <v>52000</v>
      </c>
      <c r="N10" s="2750">
        <f>+M10-K10</f>
        <v>0</v>
      </c>
      <c r="O10" s="329"/>
    </row>
    <row r="11" spans="1:15" ht="18" hidden="1" customHeight="1" outlineLevel="1">
      <c r="A11" s="2737">
        <v>6117</v>
      </c>
      <c r="B11" s="2738">
        <v>5139</v>
      </c>
      <c r="C11" s="2739"/>
      <c r="D11" s="2740"/>
      <c r="E11" s="2740"/>
      <c r="F11" s="2740"/>
      <c r="G11" s="2740"/>
      <c r="H11" s="2740"/>
      <c r="I11" s="2740"/>
      <c r="J11" s="2740"/>
      <c r="K11" s="2740"/>
      <c r="L11" s="2741">
        <f t="shared" si="0"/>
        <v>0</v>
      </c>
      <c r="M11" s="2731"/>
      <c r="N11" s="1908"/>
    </row>
    <row r="12" spans="1:15" ht="18" hidden="1" customHeight="1" outlineLevel="1">
      <c r="A12" s="2742">
        <v>6117</v>
      </c>
      <c r="B12" s="2743">
        <v>5139</v>
      </c>
      <c r="C12" s="2744"/>
      <c r="D12" s="2745"/>
      <c r="E12" s="2745"/>
      <c r="F12" s="2745"/>
      <c r="G12" s="2745"/>
      <c r="H12" s="2745"/>
      <c r="I12" s="2745"/>
      <c r="J12" s="2745"/>
      <c r="K12" s="2745"/>
      <c r="L12" s="2746">
        <f t="shared" si="0"/>
        <v>0</v>
      </c>
      <c r="M12" s="2731"/>
      <c r="N12" s="1908"/>
    </row>
    <row r="13" spans="1:15" ht="18" hidden="1" customHeight="1" outlineLevel="1">
      <c r="A13" s="2742">
        <v>6117</v>
      </c>
      <c r="B13" s="2743">
        <v>5139</v>
      </c>
      <c r="C13" s="2744"/>
      <c r="D13" s="2745"/>
      <c r="E13" s="2745"/>
      <c r="F13" s="2745"/>
      <c r="G13" s="2745"/>
      <c r="H13" s="2745"/>
      <c r="I13" s="2745"/>
      <c r="J13" s="2745"/>
      <c r="K13" s="2745"/>
      <c r="L13" s="2746">
        <f t="shared" si="0"/>
        <v>0</v>
      </c>
      <c r="M13" s="2731"/>
      <c r="N13" s="1908"/>
    </row>
    <row r="14" spans="1:15" s="432" customFormat="1" ht="18" customHeight="1" collapsed="1" thickBot="1">
      <c r="A14" s="3278" t="s">
        <v>1195</v>
      </c>
      <c r="B14" s="3279"/>
      <c r="C14" s="2747"/>
      <c r="D14" s="2748">
        <v>0</v>
      </c>
      <c r="E14" s="2748">
        <v>0</v>
      </c>
      <c r="F14" s="2748">
        <v>0</v>
      </c>
      <c r="G14" s="2748">
        <v>0</v>
      </c>
      <c r="H14" s="2748">
        <v>0</v>
      </c>
      <c r="I14" s="2748">
        <v>0</v>
      </c>
      <c r="J14" s="2748">
        <v>0</v>
      </c>
      <c r="K14" s="2748">
        <f t="shared" ref="K14" si="2">SUM(K11:K13)</f>
        <v>0</v>
      </c>
      <c r="L14" s="2749">
        <f t="shared" si="0"/>
        <v>0</v>
      </c>
      <c r="M14" s="285">
        <f>'Výdaje kapitol celkem'!S22</f>
        <v>0</v>
      </c>
      <c r="N14" s="2750">
        <f>+M14-K14</f>
        <v>0</v>
      </c>
      <c r="O14" s="329"/>
    </row>
    <row r="15" spans="1:15" ht="39.4" outlineLevel="1">
      <c r="A15" s="2737">
        <v>6171</v>
      </c>
      <c r="B15" s="2738">
        <v>5139</v>
      </c>
      <c r="C15" s="2739" t="s">
        <v>2214</v>
      </c>
      <c r="D15" s="2740">
        <v>720000</v>
      </c>
      <c r="E15" s="2740">
        <v>720000</v>
      </c>
      <c r="F15" s="2740">
        <v>720000</v>
      </c>
      <c r="G15" s="2740">
        <v>720000</v>
      </c>
      <c r="H15" s="2740">
        <v>720000</v>
      </c>
      <c r="I15" s="2740">
        <v>720000</v>
      </c>
      <c r="J15" s="2740">
        <v>720000</v>
      </c>
      <c r="K15" s="2740">
        <f>+[2]Správa!$B$19</f>
        <v>740000</v>
      </c>
      <c r="L15" s="2741">
        <f t="shared" si="0"/>
        <v>20000</v>
      </c>
      <c r="M15" s="2731"/>
      <c r="N15" s="1908"/>
    </row>
    <row r="16" spans="1:15" ht="18" customHeight="1" outlineLevel="1">
      <c r="A16" s="2742">
        <v>6171</v>
      </c>
      <c r="B16" s="2743">
        <v>5139</v>
      </c>
      <c r="C16" s="2744"/>
      <c r="D16" s="2745">
        <v>0</v>
      </c>
      <c r="E16" s="2745">
        <v>0</v>
      </c>
      <c r="F16" s="2745">
        <v>0</v>
      </c>
      <c r="G16" s="2745">
        <v>0</v>
      </c>
      <c r="H16" s="2745">
        <v>0</v>
      </c>
      <c r="I16" s="2745">
        <v>0</v>
      </c>
      <c r="J16" s="2745">
        <v>0</v>
      </c>
      <c r="K16" s="2745">
        <f>+[2]Správa!$B$20</f>
        <v>0</v>
      </c>
      <c r="L16" s="2746">
        <f t="shared" si="0"/>
        <v>0</v>
      </c>
      <c r="M16" s="2731"/>
      <c r="N16" s="1908"/>
    </row>
    <row r="17" spans="1:15" ht="18" customHeight="1" outlineLevel="1">
      <c r="A17" s="2742">
        <v>6171</v>
      </c>
      <c r="B17" s="2743">
        <v>5139</v>
      </c>
      <c r="C17" s="2744"/>
      <c r="D17" s="2745"/>
      <c r="E17" s="2745"/>
      <c r="F17" s="2745"/>
      <c r="G17" s="2745"/>
      <c r="H17" s="2745"/>
      <c r="I17" s="2745"/>
      <c r="J17" s="2745"/>
      <c r="K17" s="2745"/>
      <c r="L17" s="2746">
        <f t="shared" si="0"/>
        <v>0</v>
      </c>
      <c r="M17" s="2731"/>
      <c r="N17" s="1908"/>
    </row>
    <row r="18" spans="1:15" s="432" customFormat="1" ht="18" customHeight="1" thickBot="1">
      <c r="A18" s="3278" t="s">
        <v>213</v>
      </c>
      <c r="B18" s="3279"/>
      <c r="C18" s="2747"/>
      <c r="D18" s="2748">
        <v>720000</v>
      </c>
      <c r="E18" s="2748">
        <v>720000</v>
      </c>
      <c r="F18" s="2748">
        <v>720000</v>
      </c>
      <c r="G18" s="2748">
        <v>720000</v>
      </c>
      <c r="H18" s="2748">
        <v>720000</v>
      </c>
      <c r="I18" s="2748">
        <v>720000</v>
      </c>
      <c r="J18" s="2748">
        <v>720000</v>
      </c>
      <c r="K18" s="2748">
        <f t="shared" ref="K18" si="3">SUM(K15:K17)</f>
        <v>740000</v>
      </c>
      <c r="L18" s="2749">
        <f t="shared" si="0"/>
        <v>20000</v>
      </c>
      <c r="M18" s="285">
        <f>'Výdaje kapitol celkem'!T22</f>
        <v>740000</v>
      </c>
      <c r="N18" s="2750">
        <f>+M18-K18</f>
        <v>0</v>
      </c>
      <c r="O18" s="329"/>
    </row>
    <row r="19" spans="1:15" ht="13.5" outlineLevel="1">
      <c r="A19" s="2737">
        <v>4351</v>
      </c>
      <c r="B19" s="2738">
        <v>5139</v>
      </c>
      <c r="C19" s="2739"/>
      <c r="D19" s="2740">
        <v>70000</v>
      </c>
      <c r="E19" s="2740">
        <v>70000</v>
      </c>
      <c r="F19" s="2740">
        <v>70000</v>
      </c>
      <c r="G19" s="2740">
        <v>70000</v>
      </c>
      <c r="H19" s="2740">
        <v>70000</v>
      </c>
      <c r="I19" s="2740">
        <v>70000</v>
      </c>
      <c r="J19" s="2740">
        <v>70000</v>
      </c>
      <c r="K19" s="2740">
        <f>+'[2]Pečovatelská služba'!$B$19</f>
        <v>22000</v>
      </c>
      <c r="L19" s="2741">
        <f t="shared" si="0"/>
        <v>-48000</v>
      </c>
      <c r="M19" s="2731"/>
      <c r="N19" s="2750"/>
      <c r="O19" s="329"/>
    </row>
    <row r="20" spans="1:15" ht="18" customHeight="1" outlineLevel="1">
      <c r="A20" s="2742">
        <v>4351</v>
      </c>
      <c r="B20" s="2743">
        <v>5139</v>
      </c>
      <c r="C20" s="2744"/>
      <c r="D20" s="2752">
        <v>0</v>
      </c>
      <c r="E20" s="2752">
        <v>0</v>
      </c>
      <c r="F20" s="2752">
        <v>0</v>
      </c>
      <c r="G20" s="2752">
        <v>0</v>
      </c>
      <c r="H20" s="2752">
        <v>0</v>
      </c>
      <c r="I20" s="2752">
        <v>0</v>
      </c>
      <c r="J20" s="2752">
        <v>0</v>
      </c>
      <c r="K20" s="2752">
        <f>+'[2]Pečovatelská služba'!$B$20</f>
        <v>0</v>
      </c>
      <c r="L20" s="2751">
        <f t="shared" si="0"/>
        <v>0</v>
      </c>
      <c r="M20" s="2731"/>
      <c r="N20" s="2750"/>
      <c r="O20" s="329"/>
    </row>
    <row r="21" spans="1:15" s="432" customFormat="1" ht="18" customHeight="1" thickBot="1">
      <c r="A21" s="3278" t="s">
        <v>214</v>
      </c>
      <c r="B21" s="3279"/>
      <c r="C21" s="2747"/>
      <c r="D21" s="2748">
        <v>70000</v>
      </c>
      <c r="E21" s="2748">
        <v>70000</v>
      </c>
      <c r="F21" s="2748">
        <v>70000</v>
      </c>
      <c r="G21" s="2748">
        <v>70000</v>
      </c>
      <c r="H21" s="2748">
        <v>70000</v>
      </c>
      <c r="I21" s="2748">
        <v>70000</v>
      </c>
      <c r="J21" s="2748">
        <v>70000</v>
      </c>
      <c r="K21" s="2748">
        <f t="shared" ref="K21" si="4">SUM(K19:K20)</f>
        <v>22000</v>
      </c>
      <c r="L21" s="2749">
        <f t="shared" si="0"/>
        <v>-48000</v>
      </c>
      <c r="M21" s="285">
        <f>'Výdaje kapitol celkem'!Y22</f>
        <v>22000</v>
      </c>
      <c r="N21" s="2750">
        <f>+M21-K21</f>
        <v>0</v>
      </c>
      <c r="O21" s="329"/>
    </row>
    <row r="22" spans="1:15" ht="18" customHeight="1" outlineLevel="1">
      <c r="A22" s="2737">
        <v>5311</v>
      </c>
      <c r="B22" s="2738">
        <v>5139</v>
      </c>
      <c r="C22" s="2739"/>
      <c r="D22" s="2740"/>
      <c r="E22" s="2740"/>
      <c r="F22" s="2740"/>
      <c r="G22" s="2740"/>
      <c r="H22" s="2740"/>
      <c r="I22" s="2740"/>
      <c r="J22" s="2740"/>
      <c r="K22" s="2740"/>
      <c r="L22" s="2741">
        <f t="shared" si="0"/>
        <v>0</v>
      </c>
      <c r="M22" s="2731"/>
      <c r="N22" s="2750"/>
      <c r="O22" s="329"/>
    </row>
    <row r="23" spans="1:15" ht="18" customHeight="1" outlineLevel="1">
      <c r="A23" s="2742">
        <v>5311</v>
      </c>
      <c r="B23" s="2743">
        <v>5139</v>
      </c>
      <c r="C23" s="2744"/>
      <c r="D23" s="2752"/>
      <c r="E23" s="2752"/>
      <c r="F23" s="2752"/>
      <c r="G23" s="2752"/>
      <c r="H23" s="2752"/>
      <c r="I23" s="2752"/>
      <c r="J23" s="2752"/>
      <c r="K23" s="2752"/>
      <c r="L23" s="2751">
        <f t="shared" si="0"/>
        <v>0</v>
      </c>
      <c r="M23" s="2731"/>
      <c r="N23" s="2750"/>
      <c r="O23" s="329"/>
    </row>
    <row r="24" spans="1:15" s="432" customFormat="1" ht="13.9" thickBot="1">
      <c r="A24" s="3278" t="s">
        <v>1198</v>
      </c>
      <c r="B24" s="3279"/>
      <c r="C24" s="2747"/>
      <c r="D24" s="2748">
        <v>0</v>
      </c>
      <c r="E24" s="2748">
        <v>0</v>
      </c>
      <c r="F24" s="2748">
        <v>0</v>
      </c>
      <c r="G24" s="2748">
        <v>0</v>
      </c>
      <c r="H24" s="2748">
        <v>0</v>
      </c>
      <c r="I24" s="2748">
        <v>0</v>
      </c>
      <c r="J24" s="2748">
        <v>0</v>
      </c>
      <c r="K24" s="2748">
        <f t="shared" ref="K24" si="5">SUM(K22:K23)</f>
        <v>0</v>
      </c>
      <c r="L24" s="2749">
        <f t="shared" si="0"/>
        <v>0</v>
      </c>
      <c r="M24" s="285">
        <f>'Výdaje kapitol celkem'!AA22</f>
        <v>0</v>
      </c>
      <c r="N24" s="2750">
        <f>+M24-K24</f>
        <v>0</v>
      </c>
      <c r="O24" s="329"/>
    </row>
    <row r="25" spans="1:15" ht="18" customHeight="1" outlineLevel="1">
      <c r="A25" s="2737" t="s">
        <v>197</v>
      </c>
      <c r="B25" s="2738">
        <v>5139</v>
      </c>
      <c r="C25" s="2739" t="s">
        <v>2217</v>
      </c>
      <c r="D25" s="2740">
        <v>45000</v>
      </c>
      <c r="E25" s="2740">
        <v>45000</v>
      </c>
      <c r="F25" s="2740">
        <v>45000</v>
      </c>
      <c r="G25" s="2740">
        <v>45000</v>
      </c>
      <c r="H25" s="2740">
        <v>45000</v>
      </c>
      <c r="I25" s="2740">
        <v>45000</v>
      </c>
      <c r="J25" s="2740">
        <v>45000</v>
      </c>
      <c r="K25" s="2740">
        <f>+'[2]Městská policie'!$B$29</f>
        <v>45000</v>
      </c>
      <c r="L25" s="2741">
        <f t="shared" si="0"/>
        <v>0</v>
      </c>
      <c r="M25" s="2731"/>
      <c r="N25" s="2750"/>
      <c r="O25" s="329"/>
    </row>
    <row r="26" spans="1:15" ht="18" customHeight="1" outlineLevel="1">
      <c r="A26" s="2742" t="s">
        <v>197</v>
      </c>
      <c r="B26" s="2743">
        <v>5139</v>
      </c>
      <c r="C26" s="2744" t="s">
        <v>2378</v>
      </c>
      <c r="D26" s="2745">
        <v>72000</v>
      </c>
      <c r="E26" s="2745">
        <v>72000</v>
      </c>
      <c r="F26" s="2745">
        <v>72000</v>
      </c>
      <c r="G26" s="2745">
        <v>72000</v>
      </c>
      <c r="H26" s="2745">
        <v>72000</v>
      </c>
      <c r="I26" s="2745">
        <v>72000</v>
      </c>
      <c r="J26" s="2745">
        <v>72000</v>
      </c>
      <c r="K26" s="2745">
        <f>+'[2]Městská policie'!$B$30</f>
        <v>37000</v>
      </c>
      <c r="L26" s="2751">
        <f t="shared" si="0"/>
        <v>-35000</v>
      </c>
      <c r="M26" s="2731"/>
      <c r="N26" s="2750"/>
      <c r="O26" s="329"/>
    </row>
    <row r="27" spans="1:15" s="432" customFormat="1" ht="13.9" thickBot="1">
      <c r="A27" s="3278" t="s">
        <v>1169</v>
      </c>
      <c r="B27" s="3279"/>
      <c r="C27" s="2747"/>
      <c r="D27" s="2748">
        <v>117000</v>
      </c>
      <c r="E27" s="2748">
        <v>117000</v>
      </c>
      <c r="F27" s="2748">
        <v>117000</v>
      </c>
      <c r="G27" s="2748">
        <v>117000</v>
      </c>
      <c r="H27" s="2748">
        <v>117000</v>
      </c>
      <c r="I27" s="2748">
        <v>117000</v>
      </c>
      <c r="J27" s="2748">
        <v>117000</v>
      </c>
      <c r="K27" s="2748">
        <f t="shared" ref="K27" si="6">SUM(K25:K26)</f>
        <v>82000</v>
      </c>
      <c r="L27" s="2749">
        <f t="shared" si="0"/>
        <v>-35000</v>
      </c>
      <c r="M27" s="285">
        <f>'Výdaje kapitol celkem'!AB22</f>
        <v>82000</v>
      </c>
      <c r="N27" s="2750">
        <f>+M27-K27</f>
        <v>0</v>
      </c>
      <c r="O27" s="329"/>
    </row>
    <row r="28" spans="1:15" ht="18" customHeight="1" outlineLevel="1">
      <c r="A28" s="2737">
        <v>3319</v>
      </c>
      <c r="B28" s="2738">
        <v>5139</v>
      </c>
      <c r="C28" s="2739" t="s">
        <v>2220</v>
      </c>
      <c r="D28" s="2740">
        <v>4000</v>
      </c>
      <c r="E28" s="2740">
        <v>4000</v>
      </c>
      <c r="F28" s="2740">
        <v>4000</v>
      </c>
      <c r="G28" s="2740">
        <v>4000</v>
      </c>
      <c r="H28" s="2740">
        <v>4000</v>
      </c>
      <c r="I28" s="2740">
        <v>4000</v>
      </c>
      <c r="J28" s="2740">
        <v>4000</v>
      </c>
      <c r="K28" s="2740">
        <f>+[2]Kronika!$B$12</f>
        <v>1000</v>
      </c>
      <c r="L28" s="2741">
        <f t="shared" si="0"/>
        <v>-3000</v>
      </c>
      <c r="M28" s="2731"/>
      <c r="N28" s="2750"/>
      <c r="O28" s="329"/>
    </row>
    <row r="29" spans="1:15" ht="18" customHeight="1" outlineLevel="1">
      <c r="A29" s="2742">
        <v>3319</v>
      </c>
      <c r="B29" s="2743">
        <v>5139</v>
      </c>
      <c r="C29" s="2744"/>
      <c r="D29" s="2745">
        <v>0</v>
      </c>
      <c r="E29" s="2745">
        <v>0</v>
      </c>
      <c r="F29" s="2745">
        <v>0</v>
      </c>
      <c r="G29" s="2745">
        <v>0</v>
      </c>
      <c r="H29" s="2745">
        <v>0</v>
      </c>
      <c r="I29" s="2745">
        <v>0</v>
      </c>
      <c r="J29" s="2745">
        <v>0</v>
      </c>
      <c r="K29" s="2745">
        <f>+[2]Kronika!$B$13</f>
        <v>0</v>
      </c>
      <c r="L29" s="2751">
        <f t="shared" si="0"/>
        <v>0</v>
      </c>
      <c r="M29" s="2731"/>
      <c r="N29" s="2750"/>
      <c r="O29" s="329"/>
    </row>
    <row r="30" spans="1:15" s="432" customFormat="1" ht="18" customHeight="1" thickBot="1">
      <c r="A30" s="3278" t="s">
        <v>1168</v>
      </c>
      <c r="B30" s="3279"/>
      <c r="C30" s="2747"/>
      <c r="D30" s="2748">
        <v>4000</v>
      </c>
      <c r="E30" s="2748">
        <v>4000</v>
      </c>
      <c r="F30" s="2748">
        <v>4000</v>
      </c>
      <c r="G30" s="2748">
        <v>4000</v>
      </c>
      <c r="H30" s="2748">
        <v>4000</v>
      </c>
      <c r="I30" s="2748">
        <v>4000</v>
      </c>
      <c r="J30" s="2748">
        <v>4000</v>
      </c>
      <c r="K30" s="2748">
        <f t="shared" ref="K30" si="7">SUM(K28:K29)</f>
        <v>1000</v>
      </c>
      <c r="L30" s="2749">
        <f t="shared" si="0"/>
        <v>-3000</v>
      </c>
      <c r="M30" s="285">
        <f>'Výdaje kapitol celkem'!AC22</f>
        <v>1000</v>
      </c>
      <c r="N30" s="2750">
        <f>+M30-K30</f>
        <v>0</v>
      </c>
      <c r="O30" s="329"/>
    </row>
    <row r="31" spans="1:15" ht="28.5" customHeight="1" outlineLevel="1">
      <c r="A31" s="2737">
        <v>3314</v>
      </c>
      <c r="B31" s="2738">
        <v>5139</v>
      </c>
      <c r="C31" s="2739"/>
      <c r="D31" s="2740">
        <v>0</v>
      </c>
      <c r="E31" s="2740">
        <v>0</v>
      </c>
      <c r="F31" s="2740"/>
      <c r="G31" s="2740"/>
      <c r="H31" s="2740"/>
      <c r="I31" s="2740"/>
      <c r="J31" s="2740"/>
      <c r="K31" s="2740"/>
      <c r="L31" s="2741">
        <f t="shared" si="0"/>
        <v>0</v>
      </c>
      <c r="M31" s="2731"/>
      <c r="N31" s="2750"/>
      <c r="O31" s="329"/>
    </row>
    <row r="32" spans="1:15" ht="28.5" customHeight="1" outlineLevel="1">
      <c r="A32" s="2758">
        <v>3314</v>
      </c>
      <c r="B32" s="2754">
        <v>5139</v>
      </c>
      <c r="C32" s="2744" t="s">
        <v>2990</v>
      </c>
      <c r="D32" s="2745">
        <v>50000</v>
      </c>
      <c r="E32" s="2745">
        <v>50000</v>
      </c>
      <c r="F32" s="2745">
        <v>50000</v>
      </c>
      <c r="G32" s="2745">
        <v>50000</v>
      </c>
      <c r="H32" s="2745">
        <v>50000</v>
      </c>
      <c r="I32" s="2745">
        <v>50000</v>
      </c>
      <c r="J32" s="2745">
        <v>50000</v>
      </c>
      <c r="K32" s="2745">
        <f>+[2]Knihovna!$B$20</f>
        <v>60000</v>
      </c>
      <c r="L32" s="2746">
        <f t="shared" si="0"/>
        <v>10000</v>
      </c>
      <c r="M32" s="2731"/>
      <c r="N32" s="2750"/>
      <c r="O32" s="329"/>
    </row>
    <row r="33" spans="1:15" ht="28.5" customHeight="1" outlineLevel="1">
      <c r="A33" s="2742">
        <v>3314</v>
      </c>
      <c r="B33" s="2743">
        <v>5139</v>
      </c>
      <c r="C33" s="2744"/>
      <c r="D33" s="2745">
        <v>0</v>
      </c>
      <c r="E33" s="2745">
        <v>0</v>
      </c>
      <c r="F33" s="2745">
        <v>0</v>
      </c>
      <c r="G33" s="2745">
        <v>0</v>
      </c>
      <c r="H33" s="2745">
        <v>0</v>
      </c>
      <c r="I33" s="2745">
        <v>0</v>
      </c>
      <c r="J33" s="2745">
        <v>0</v>
      </c>
      <c r="K33" s="2745">
        <f>+[2]Knihovna!$B$21</f>
        <v>0</v>
      </c>
      <c r="L33" s="2746">
        <f t="shared" si="0"/>
        <v>0</v>
      </c>
      <c r="M33" s="2731"/>
      <c r="N33" s="2750"/>
      <c r="O33" s="329"/>
    </row>
    <row r="34" spans="1:15" ht="18" customHeight="1" outlineLevel="1">
      <c r="A34" s="2742">
        <v>3314</v>
      </c>
      <c r="B34" s="2743">
        <v>5139</v>
      </c>
      <c r="C34" s="2744"/>
      <c r="D34" s="2745">
        <v>0</v>
      </c>
      <c r="E34" s="2745">
        <v>0</v>
      </c>
      <c r="F34" s="2745">
        <v>0</v>
      </c>
      <c r="G34" s="2745">
        <v>0</v>
      </c>
      <c r="H34" s="2745">
        <v>0</v>
      </c>
      <c r="I34" s="2745">
        <v>0</v>
      </c>
      <c r="J34" s="2745">
        <v>0</v>
      </c>
      <c r="K34" s="2745">
        <f>+[3]Knihovna!$B$13</f>
        <v>0</v>
      </c>
      <c r="L34" s="2751">
        <f t="shared" si="0"/>
        <v>0</v>
      </c>
      <c r="M34" s="2731"/>
      <c r="N34" s="2750"/>
      <c r="O34" s="329"/>
    </row>
    <row r="35" spans="1:15" s="432" customFormat="1" ht="18" customHeight="1" thickBot="1">
      <c r="A35" s="3278" t="s">
        <v>1170</v>
      </c>
      <c r="B35" s="3279"/>
      <c r="C35" s="2747"/>
      <c r="D35" s="2748">
        <v>50000</v>
      </c>
      <c r="E35" s="2748">
        <v>50000</v>
      </c>
      <c r="F35" s="2748">
        <v>50000</v>
      </c>
      <c r="G35" s="2748">
        <v>50000</v>
      </c>
      <c r="H35" s="2748">
        <v>50000</v>
      </c>
      <c r="I35" s="2748">
        <v>50000</v>
      </c>
      <c r="J35" s="2748">
        <v>50000</v>
      </c>
      <c r="K35" s="2748">
        <f>SUM(K31:K34)</f>
        <v>60000</v>
      </c>
      <c r="L35" s="2749">
        <f t="shared" si="0"/>
        <v>10000</v>
      </c>
      <c r="M35" s="285">
        <f>'Výdaje kapitol celkem'!AF22</f>
        <v>60000</v>
      </c>
      <c r="N35" s="2750">
        <f>+M35-K35</f>
        <v>0</v>
      </c>
      <c r="O35" s="329"/>
    </row>
    <row r="36" spans="1:15" ht="18" hidden="1" customHeight="1" outlineLevel="1">
      <c r="A36" s="2737">
        <v>3349</v>
      </c>
      <c r="B36" s="2738">
        <v>5139</v>
      </c>
      <c r="C36" s="2739"/>
      <c r="D36" s="2740"/>
      <c r="E36" s="2740"/>
      <c r="F36" s="2740"/>
      <c r="G36" s="2740"/>
      <c r="H36" s="2740"/>
      <c r="I36" s="2740"/>
      <c r="J36" s="2740"/>
      <c r="K36" s="2740"/>
      <c r="L36" s="2741">
        <f t="shared" si="0"/>
        <v>0</v>
      </c>
      <c r="M36" s="2731"/>
      <c r="N36" s="2750"/>
      <c r="O36" s="329"/>
    </row>
    <row r="37" spans="1:15" s="432" customFormat="1" ht="18" customHeight="1" collapsed="1" thickBot="1">
      <c r="A37" s="3278" t="s">
        <v>1194</v>
      </c>
      <c r="B37" s="3279"/>
      <c r="C37" s="2747"/>
      <c r="D37" s="2748">
        <v>0</v>
      </c>
      <c r="E37" s="2748">
        <v>0</v>
      </c>
      <c r="F37" s="2748">
        <v>0</v>
      </c>
      <c r="G37" s="2748">
        <v>0</v>
      </c>
      <c r="H37" s="2748">
        <v>0</v>
      </c>
      <c r="I37" s="2748">
        <v>0</v>
      </c>
      <c r="J37" s="2748">
        <v>0</v>
      </c>
      <c r="K37" s="2748">
        <f t="shared" ref="K37" si="8">SUM(K36)</f>
        <v>0</v>
      </c>
      <c r="L37" s="2749">
        <f t="shared" si="0"/>
        <v>0</v>
      </c>
      <c r="M37" s="285">
        <f>'Výdaje kapitol celkem'!AG22</f>
        <v>0</v>
      </c>
      <c r="N37" s="2750">
        <f>+M37-K37</f>
        <v>0</v>
      </c>
      <c r="O37" s="329"/>
    </row>
    <row r="38" spans="1:15" ht="18" customHeight="1" outlineLevel="1">
      <c r="A38" s="2737">
        <v>3359</v>
      </c>
      <c r="B38" s="2738">
        <v>5139</v>
      </c>
      <c r="C38" s="2739" t="s">
        <v>2331</v>
      </c>
      <c r="D38" s="2740">
        <v>40000</v>
      </c>
      <c r="E38" s="2740">
        <v>40000</v>
      </c>
      <c r="F38" s="2740">
        <v>40000</v>
      </c>
      <c r="G38" s="2740">
        <v>40000</v>
      </c>
      <c r="H38" s="2740">
        <v>40000</v>
      </c>
      <c r="I38" s="2740">
        <v>40000</v>
      </c>
      <c r="J38" s="2740">
        <v>40000</v>
      </c>
      <c r="K38" s="2740">
        <f>+[2]Kultura!$B$14</f>
        <v>10000</v>
      </c>
      <c r="L38" s="2741">
        <f t="shared" si="0"/>
        <v>-30000</v>
      </c>
      <c r="M38" s="2731"/>
      <c r="N38" s="2750"/>
      <c r="O38" s="329"/>
    </row>
    <row r="39" spans="1:15" ht="18" customHeight="1" outlineLevel="1">
      <c r="A39" s="2742">
        <v>3359</v>
      </c>
      <c r="B39" s="2743">
        <v>5139</v>
      </c>
      <c r="C39" s="2744" t="s">
        <v>2224</v>
      </c>
      <c r="D39" s="2745">
        <v>60000</v>
      </c>
      <c r="E39" s="2745">
        <v>60000</v>
      </c>
      <c r="F39" s="2745">
        <v>60000</v>
      </c>
      <c r="G39" s="2745">
        <v>60000</v>
      </c>
      <c r="H39" s="2745">
        <v>60000</v>
      </c>
      <c r="I39" s="2745">
        <v>60000</v>
      </c>
      <c r="J39" s="2745">
        <v>60000</v>
      </c>
      <c r="K39" s="2745">
        <f>+[2]Kultura!$B$15</f>
        <v>15000</v>
      </c>
      <c r="L39" s="2746">
        <f t="shared" si="0"/>
        <v>-45000</v>
      </c>
      <c r="M39" s="2731"/>
      <c r="N39" s="2750"/>
      <c r="O39" s="329"/>
    </row>
    <row r="40" spans="1:15" ht="18" customHeight="1" outlineLevel="1">
      <c r="A40" s="2758">
        <v>3359</v>
      </c>
      <c r="B40" s="2754">
        <v>5139</v>
      </c>
      <c r="C40" s="2759"/>
      <c r="D40" s="2760">
        <v>0</v>
      </c>
      <c r="E40" s="2760">
        <v>0</v>
      </c>
      <c r="F40" s="2760">
        <v>0</v>
      </c>
      <c r="G40" s="2760">
        <v>0</v>
      </c>
      <c r="H40" s="2760">
        <v>0</v>
      </c>
      <c r="I40" s="2760">
        <v>0</v>
      </c>
      <c r="J40" s="2760">
        <v>0</v>
      </c>
      <c r="K40" s="2760">
        <f>+[2]Kultura!$B$16</f>
        <v>0</v>
      </c>
      <c r="L40" s="2761">
        <f t="shared" si="0"/>
        <v>0</v>
      </c>
      <c r="M40" s="2731"/>
      <c r="N40" s="2750"/>
      <c r="O40" s="329"/>
    </row>
    <row r="41" spans="1:15" s="432" customFormat="1" ht="18" customHeight="1" thickBot="1">
      <c r="A41" s="3278" t="s">
        <v>1193</v>
      </c>
      <c r="B41" s="3279"/>
      <c r="C41" s="2747"/>
      <c r="D41" s="2748">
        <v>100000</v>
      </c>
      <c r="E41" s="2748">
        <v>100000</v>
      </c>
      <c r="F41" s="2748">
        <v>100000</v>
      </c>
      <c r="G41" s="2748">
        <v>100000</v>
      </c>
      <c r="H41" s="2748">
        <v>100000</v>
      </c>
      <c r="I41" s="2748">
        <v>100000</v>
      </c>
      <c r="J41" s="2748">
        <v>100000</v>
      </c>
      <c r="K41" s="2748">
        <f t="shared" ref="K41" si="9">SUM(K38:K40)</f>
        <v>25000</v>
      </c>
      <c r="L41" s="2749">
        <f t="shared" si="0"/>
        <v>-75000</v>
      </c>
      <c r="M41" s="285">
        <f>'Výdaje kapitol celkem'!AH22</f>
        <v>25000</v>
      </c>
      <c r="N41" s="2750">
        <f>+M41-K41</f>
        <v>0</v>
      </c>
      <c r="O41" s="329"/>
    </row>
    <row r="42" spans="1:15" ht="26.65" outlineLevel="1">
      <c r="A42" s="2737">
        <v>3612</v>
      </c>
      <c r="B42" s="2738">
        <v>5139</v>
      </c>
      <c r="C42" s="2739" t="s">
        <v>2332</v>
      </c>
      <c r="D42" s="2740">
        <v>50000</v>
      </c>
      <c r="E42" s="2740">
        <v>50000</v>
      </c>
      <c r="F42" s="2740">
        <v>50000</v>
      </c>
      <c r="G42" s="2740">
        <v>50000</v>
      </c>
      <c r="H42" s="2740">
        <v>50000</v>
      </c>
      <c r="I42" s="2740">
        <v>50000</v>
      </c>
      <c r="J42" s="2740">
        <v>50000</v>
      </c>
      <c r="K42" s="2740">
        <f>+[3]Byty!$B$12</f>
        <v>10000</v>
      </c>
      <c r="L42" s="2741">
        <f t="shared" si="0"/>
        <v>-40000</v>
      </c>
      <c r="M42" s="2731"/>
      <c r="N42" s="2750"/>
      <c r="O42" s="329"/>
    </row>
    <row r="43" spans="1:15" ht="18" customHeight="1" outlineLevel="1">
      <c r="A43" s="2742">
        <v>3612</v>
      </c>
      <c r="B43" s="2743">
        <v>5139</v>
      </c>
      <c r="C43" s="2744"/>
      <c r="D43" s="2745">
        <v>0</v>
      </c>
      <c r="E43" s="2745">
        <v>0</v>
      </c>
      <c r="F43" s="2745">
        <v>0</v>
      </c>
      <c r="G43" s="2745">
        <v>0</v>
      </c>
      <c r="H43" s="2745">
        <v>0</v>
      </c>
      <c r="I43" s="2745">
        <v>0</v>
      </c>
      <c r="J43" s="2745">
        <v>0</v>
      </c>
      <c r="K43" s="2745">
        <f>+[3]Byty!$B$13</f>
        <v>0</v>
      </c>
      <c r="L43" s="2746">
        <f t="shared" si="0"/>
        <v>0</v>
      </c>
      <c r="M43" s="2731"/>
      <c r="N43" s="2750"/>
      <c r="O43" s="329"/>
    </row>
    <row r="44" spans="1:15" s="432" customFormat="1" ht="18" customHeight="1" thickBot="1">
      <c r="A44" s="3278" t="s">
        <v>200</v>
      </c>
      <c r="B44" s="3279"/>
      <c r="C44" s="2747"/>
      <c r="D44" s="2748">
        <v>50000</v>
      </c>
      <c r="E44" s="2748">
        <v>50000</v>
      </c>
      <c r="F44" s="2748">
        <v>50000</v>
      </c>
      <c r="G44" s="2748">
        <v>50000</v>
      </c>
      <c r="H44" s="2748">
        <v>50000</v>
      </c>
      <c r="I44" s="2748">
        <v>50000</v>
      </c>
      <c r="J44" s="2748">
        <v>50000</v>
      </c>
      <c r="K44" s="2748">
        <f t="shared" ref="K44" si="10">SUM(K42:K43)</f>
        <v>10000</v>
      </c>
      <c r="L44" s="2749">
        <f t="shared" si="0"/>
        <v>-40000</v>
      </c>
      <c r="M44" s="285">
        <f>'Výdaje kapitol celkem'!AI22</f>
        <v>10000</v>
      </c>
      <c r="N44" s="2750">
        <f>+M44-K44</f>
        <v>0</v>
      </c>
      <c r="O44" s="329"/>
    </row>
    <row r="45" spans="1:15" ht="13.5" outlineLevel="1">
      <c r="A45" s="2758" t="s">
        <v>199</v>
      </c>
      <c r="B45" s="2754">
        <v>5139</v>
      </c>
      <c r="C45" s="2759" t="s">
        <v>2187</v>
      </c>
      <c r="D45" s="2760">
        <v>100000</v>
      </c>
      <c r="E45" s="2760">
        <v>100000</v>
      </c>
      <c r="F45" s="2760">
        <v>100000</v>
      </c>
      <c r="G45" s="2760">
        <v>100000</v>
      </c>
      <c r="H45" s="2760">
        <v>100000</v>
      </c>
      <c r="I45" s="2760">
        <v>100000</v>
      </c>
      <c r="J45" s="2760">
        <v>80000</v>
      </c>
      <c r="K45" s="2760">
        <f>+[3]DPS!$B$13</f>
        <v>6000</v>
      </c>
      <c r="L45" s="2761">
        <f t="shared" si="0"/>
        <v>-74000</v>
      </c>
      <c r="M45" s="2731"/>
      <c r="N45" s="2750"/>
      <c r="O45" s="329"/>
    </row>
    <row r="46" spans="1:15" ht="13.5" outlineLevel="1">
      <c r="A46" s="2758"/>
      <c r="B46" s="2754"/>
      <c r="C46" s="2759" t="s">
        <v>2188</v>
      </c>
      <c r="D46" s="2760">
        <v>150000</v>
      </c>
      <c r="E46" s="2760">
        <v>150000</v>
      </c>
      <c r="F46" s="2760">
        <v>150000</v>
      </c>
      <c r="G46" s="2760">
        <v>150000</v>
      </c>
      <c r="H46" s="2760">
        <v>150000</v>
      </c>
      <c r="I46" s="2760">
        <v>150000</v>
      </c>
      <c r="J46" s="2760">
        <v>150000</v>
      </c>
      <c r="K46" s="2760">
        <f>+[3]DPS!$B$14</f>
        <v>10000</v>
      </c>
      <c r="L46" s="2761">
        <f t="shared" si="0"/>
        <v>-140000</v>
      </c>
      <c r="M46" s="2731"/>
      <c r="N46" s="2750"/>
      <c r="O46" s="329"/>
    </row>
    <row r="47" spans="1:15" ht="13.5" outlineLevel="1">
      <c r="A47" s="2758" t="s">
        <v>199</v>
      </c>
      <c r="B47" s="2754">
        <v>5139</v>
      </c>
      <c r="C47" s="2759"/>
      <c r="D47" s="2760"/>
      <c r="E47" s="2760"/>
      <c r="F47" s="2760"/>
      <c r="G47" s="2760"/>
      <c r="H47" s="2760"/>
      <c r="I47" s="2760"/>
      <c r="J47" s="2760"/>
      <c r="K47" s="2760"/>
      <c r="L47" s="2761">
        <f t="shared" si="0"/>
        <v>0</v>
      </c>
      <c r="M47" s="2731"/>
      <c r="N47" s="2750"/>
      <c r="O47" s="329"/>
    </row>
    <row r="48" spans="1:15" ht="18" customHeight="1" thickBot="1">
      <c r="A48" s="3278" t="s">
        <v>201</v>
      </c>
      <c r="B48" s="3279"/>
      <c r="C48" s="2747"/>
      <c r="D48" s="2748">
        <v>250000</v>
      </c>
      <c r="E48" s="2748">
        <v>250000</v>
      </c>
      <c r="F48" s="2748">
        <v>250000</v>
      </c>
      <c r="G48" s="2748">
        <v>250000</v>
      </c>
      <c r="H48" s="2748">
        <v>250000</v>
      </c>
      <c r="I48" s="2748">
        <v>250000</v>
      </c>
      <c r="J48" s="2748">
        <v>230000</v>
      </c>
      <c r="K48" s="2748">
        <f t="shared" ref="K48" si="11">SUM(K45:K47)</f>
        <v>16000</v>
      </c>
      <c r="L48" s="2749">
        <f t="shared" si="0"/>
        <v>-214000</v>
      </c>
      <c r="M48" s="285">
        <f>'Výdaje kapitol celkem'!AL22</f>
        <v>16000</v>
      </c>
      <c r="N48" s="2750">
        <f>+M48-K48</f>
        <v>0</v>
      </c>
      <c r="O48" s="329"/>
    </row>
    <row r="49" spans="1:15" ht="18" customHeight="1" outlineLevel="1">
      <c r="A49" s="2742" t="s">
        <v>1241</v>
      </c>
      <c r="B49" s="2743">
        <v>5139</v>
      </c>
      <c r="C49" s="2744"/>
      <c r="D49" s="2745">
        <v>0</v>
      </c>
      <c r="E49" s="2745">
        <v>0</v>
      </c>
      <c r="F49" s="2745">
        <v>0</v>
      </c>
      <c r="G49" s="2745">
        <v>0</v>
      </c>
      <c r="H49" s="2745">
        <v>0</v>
      </c>
      <c r="I49" s="2745">
        <v>0</v>
      </c>
      <c r="J49" s="2745">
        <v>0</v>
      </c>
      <c r="K49" s="2745">
        <f>+'[3]Hotel Budka'!$B$12</f>
        <v>0</v>
      </c>
      <c r="L49" s="2751">
        <f t="shared" si="0"/>
        <v>0</v>
      </c>
      <c r="M49" s="2731"/>
      <c r="N49" s="2750"/>
      <c r="O49" s="329"/>
    </row>
    <row r="50" spans="1:15" ht="18" customHeight="1" outlineLevel="1">
      <c r="A50" s="2758" t="s">
        <v>1241</v>
      </c>
      <c r="B50" s="2754">
        <v>5139</v>
      </c>
      <c r="C50" s="2759"/>
      <c r="D50" s="2760">
        <v>0</v>
      </c>
      <c r="E50" s="2760">
        <v>0</v>
      </c>
      <c r="F50" s="2760">
        <v>0</v>
      </c>
      <c r="G50" s="2760">
        <v>0</v>
      </c>
      <c r="H50" s="2760">
        <v>0</v>
      </c>
      <c r="I50" s="2760">
        <v>0</v>
      </c>
      <c r="J50" s="2760">
        <v>0</v>
      </c>
      <c r="K50" s="2760">
        <f>+'[3]Hotel Budka'!$B$13</f>
        <v>0</v>
      </c>
      <c r="L50" s="2762">
        <f t="shared" si="0"/>
        <v>0</v>
      </c>
      <c r="M50" s="2731"/>
      <c r="N50" s="2750"/>
      <c r="O50" s="329"/>
    </row>
    <row r="51" spans="1:15" ht="18" customHeight="1" thickBot="1">
      <c r="A51" s="3278" t="s">
        <v>1429</v>
      </c>
      <c r="B51" s="3279"/>
      <c r="C51" s="2747"/>
      <c r="D51" s="2748">
        <v>0</v>
      </c>
      <c r="E51" s="2748">
        <v>0</v>
      </c>
      <c r="F51" s="2748">
        <v>0</v>
      </c>
      <c r="G51" s="2748">
        <v>0</v>
      </c>
      <c r="H51" s="2748">
        <v>0</v>
      </c>
      <c r="I51" s="2748">
        <v>0</v>
      </c>
      <c r="J51" s="2748">
        <v>0</v>
      </c>
      <c r="K51" s="2748">
        <f t="shared" ref="K51" si="12">SUM(K49:K50)</f>
        <v>0</v>
      </c>
      <c r="L51" s="2749">
        <f t="shared" si="0"/>
        <v>0</v>
      </c>
      <c r="M51" s="285">
        <f>'Výdaje kapitol celkem'!AD22</f>
        <v>0</v>
      </c>
      <c r="N51" s="2750">
        <f>+M51-K51</f>
        <v>0</v>
      </c>
      <c r="O51" s="329"/>
    </row>
    <row r="52" spans="1:15" ht="18" hidden="1" customHeight="1" outlineLevel="1">
      <c r="A52" s="2742">
        <v>3613</v>
      </c>
      <c r="B52" s="2743">
        <v>5139</v>
      </c>
      <c r="C52" s="2744"/>
      <c r="D52" s="2745"/>
      <c r="E52" s="2745"/>
      <c r="F52" s="2745"/>
      <c r="G52" s="2745"/>
      <c r="H52" s="2745"/>
      <c r="I52" s="2745"/>
      <c r="J52" s="2745"/>
      <c r="K52" s="2745"/>
      <c r="L52" s="2751">
        <f t="shared" si="0"/>
        <v>0</v>
      </c>
      <c r="M52" s="2731"/>
      <c r="N52" s="2750"/>
      <c r="O52" s="329"/>
    </row>
    <row r="53" spans="1:15" ht="18" hidden="1" customHeight="1" outlineLevel="1">
      <c r="A53" s="2758">
        <v>3613</v>
      </c>
      <c r="B53" s="2754">
        <v>5139</v>
      </c>
      <c r="C53" s="2759"/>
      <c r="D53" s="2760"/>
      <c r="E53" s="2760"/>
      <c r="F53" s="2760"/>
      <c r="G53" s="2760"/>
      <c r="H53" s="2760"/>
      <c r="I53" s="2760"/>
      <c r="J53" s="2760"/>
      <c r="K53" s="2760"/>
      <c r="L53" s="2762">
        <f t="shared" si="0"/>
        <v>0</v>
      </c>
      <c r="M53" s="2731"/>
      <c r="N53" s="2750"/>
      <c r="O53" s="329"/>
    </row>
    <row r="54" spans="1:15" ht="18" customHeight="1" collapsed="1" thickBot="1">
      <c r="A54" s="3278" t="s">
        <v>202</v>
      </c>
      <c r="B54" s="3279"/>
      <c r="C54" s="2747"/>
      <c r="D54" s="2748">
        <v>0</v>
      </c>
      <c r="E54" s="2748">
        <v>0</v>
      </c>
      <c r="F54" s="2748">
        <v>0</v>
      </c>
      <c r="G54" s="2748">
        <v>0</v>
      </c>
      <c r="H54" s="2748">
        <v>0</v>
      </c>
      <c r="I54" s="2748">
        <v>0</v>
      </c>
      <c r="J54" s="2748">
        <v>0</v>
      </c>
      <c r="K54" s="2748">
        <f t="shared" ref="K54" si="13">SUM(K52:K53)</f>
        <v>0</v>
      </c>
      <c r="L54" s="2749">
        <f t="shared" si="0"/>
        <v>0</v>
      </c>
      <c r="M54" s="285">
        <f>'Výdaje kapitol celkem'!AO22</f>
        <v>0</v>
      </c>
      <c r="N54" s="2750">
        <f>+M54-K54</f>
        <v>0</v>
      </c>
      <c r="O54" s="329"/>
    </row>
    <row r="55" spans="1:15" ht="18" hidden="1" customHeight="1" outlineLevel="1">
      <c r="A55" s="2742">
        <v>5512</v>
      </c>
      <c r="B55" s="2743">
        <v>5139</v>
      </c>
      <c r="C55" s="2744"/>
      <c r="D55" s="2745"/>
      <c r="E55" s="2745"/>
      <c r="F55" s="2745"/>
      <c r="G55" s="2745"/>
      <c r="H55" s="2745"/>
      <c r="I55" s="2745"/>
      <c r="J55" s="2745"/>
      <c r="K55" s="2745"/>
      <c r="L55" s="2751">
        <f t="shared" si="0"/>
        <v>0</v>
      </c>
      <c r="M55" s="2731"/>
      <c r="N55" s="2750"/>
      <c r="O55" s="329"/>
    </row>
    <row r="56" spans="1:15" ht="52.9" outlineLevel="1">
      <c r="A56" s="2758">
        <v>5512</v>
      </c>
      <c r="B56" s="2754">
        <v>5139</v>
      </c>
      <c r="C56" s="2759" t="s">
        <v>2226</v>
      </c>
      <c r="D56" s="2760">
        <v>50000</v>
      </c>
      <c r="E56" s="2760">
        <v>50000</v>
      </c>
      <c r="F56" s="2760">
        <v>50000</v>
      </c>
      <c r="G56" s="2760">
        <v>50000</v>
      </c>
      <c r="H56" s="2760">
        <v>50000</v>
      </c>
      <c r="I56" s="2760">
        <v>50000</v>
      </c>
      <c r="J56" s="2760">
        <v>50000</v>
      </c>
      <c r="K56" s="2760">
        <f>+[2]Hasiči!$B$20</f>
        <v>30000</v>
      </c>
      <c r="L56" s="2762">
        <f t="shared" si="0"/>
        <v>-20000</v>
      </c>
      <c r="M56" s="2731"/>
      <c r="N56" s="2750"/>
      <c r="O56" s="329"/>
    </row>
    <row r="57" spans="1:15" ht="13.5" outlineLevel="1">
      <c r="A57" s="2758"/>
      <c r="B57" s="2754"/>
      <c r="C57" s="2759"/>
      <c r="D57" s="2760">
        <v>0</v>
      </c>
      <c r="E57" s="2760">
        <v>0</v>
      </c>
      <c r="F57" s="2760">
        <v>0</v>
      </c>
      <c r="G57" s="2760">
        <v>0</v>
      </c>
      <c r="H57" s="2760">
        <v>0</v>
      </c>
      <c r="I57" s="2760">
        <v>0</v>
      </c>
      <c r="J57" s="2760">
        <v>0</v>
      </c>
      <c r="K57" s="2760">
        <f>+[2]Hasiči!$B$21</f>
        <v>15000</v>
      </c>
      <c r="L57" s="2762">
        <f t="shared" si="0"/>
        <v>15000</v>
      </c>
      <c r="M57" s="2731"/>
      <c r="N57" s="2750"/>
      <c r="O57" s="329"/>
    </row>
    <row r="58" spans="1:15" ht="18" customHeight="1" outlineLevel="1">
      <c r="A58" s="2758">
        <v>5512</v>
      </c>
      <c r="B58" s="2754">
        <v>5139</v>
      </c>
      <c r="C58" s="2759"/>
      <c r="D58" s="2760">
        <v>20000</v>
      </c>
      <c r="E58" s="2760">
        <v>20000</v>
      </c>
      <c r="F58" s="2760">
        <v>20000</v>
      </c>
      <c r="G58" s="2760">
        <v>20000</v>
      </c>
      <c r="H58" s="2760">
        <v>20000</v>
      </c>
      <c r="I58" s="2760">
        <v>20000</v>
      </c>
      <c r="J58" s="2760">
        <v>20000</v>
      </c>
      <c r="K58" s="2760">
        <f>+[3]Hasiči!$B$5</f>
        <v>20000</v>
      </c>
      <c r="L58" s="2762">
        <f t="shared" si="0"/>
        <v>0</v>
      </c>
      <c r="M58" s="2731"/>
      <c r="N58" s="2750"/>
      <c r="O58" s="329"/>
    </row>
    <row r="59" spans="1:15" ht="18" customHeight="1" outlineLevel="1">
      <c r="A59" s="2742">
        <v>5512</v>
      </c>
      <c r="B59" s="2743">
        <v>5139</v>
      </c>
      <c r="C59" s="2755"/>
      <c r="D59" s="2756">
        <v>0</v>
      </c>
      <c r="E59" s="2756">
        <v>0</v>
      </c>
      <c r="F59" s="2756">
        <v>0</v>
      </c>
      <c r="G59" s="2756">
        <v>0</v>
      </c>
      <c r="H59" s="2756">
        <v>0</v>
      </c>
      <c r="I59" s="2756">
        <v>0</v>
      </c>
      <c r="J59" s="2756">
        <v>0</v>
      </c>
      <c r="K59" s="2756">
        <f>+[3]Hasiči!$B$6</f>
        <v>0</v>
      </c>
      <c r="L59" s="2762">
        <f t="shared" si="0"/>
        <v>0</v>
      </c>
      <c r="M59" s="2731"/>
      <c r="N59" s="2750"/>
      <c r="O59" s="329"/>
    </row>
    <row r="60" spans="1:15" ht="18" customHeight="1" thickBot="1">
      <c r="A60" s="3278" t="s">
        <v>203</v>
      </c>
      <c r="B60" s="3279"/>
      <c r="C60" s="2747"/>
      <c r="D60" s="2748">
        <v>70000</v>
      </c>
      <c r="E60" s="2748">
        <v>70000</v>
      </c>
      <c r="F60" s="2748">
        <v>70000</v>
      </c>
      <c r="G60" s="2748">
        <v>70000</v>
      </c>
      <c r="H60" s="2748">
        <v>70000</v>
      </c>
      <c r="I60" s="2748">
        <v>70000</v>
      </c>
      <c r="J60" s="2748">
        <v>70000</v>
      </c>
      <c r="K60" s="2748">
        <f t="shared" ref="K60" si="14">SUM(K55:K59)</f>
        <v>65000</v>
      </c>
      <c r="L60" s="2749">
        <f t="shared" si="0"/>
        <v>-5000</v>
      </c>
      <c r="M60" s="285">
        <f>'Výdaje kapitol celkem'!AR22</f>
        <v>65000</v>
      </c>
      <c r="N60" s="2750">
        <f>+M60-K60</f>
        <v>0</v>
      </c>
      <c r="O60" s="329"/>
    </row>
    <row r="61" spans="1:15" ht="18" hidden="1" customHeight="1" outlineLevel="1">
      <c r="A61" s="2742">
        <v>3519</v>
      </c>
      <c r="B61" s="2743">
        <v>5139</v>
      </c>
      <c r="C61" s="2744"/>
      <c r="D61" s="2745"/>
      <c r="E61" s="2745"/>
      <c r="F61" s="2745"/>
      <c r="G61" s="2745"/>
      <c r="H61" s="2745"/>
      <c r="I61" s="2745"/>
      <c r="J61" s="2745"/>
      <c r="K61" s="2745"/>
      <c r="L61" s="2751">
        <f t="shared" si="0"/>
        <v>0</v>
      </c>
      <c r="M61" s="2731"/>
      <c r="N61" s="2750"/>
      <c r="O61" s="329"/>
    </row>
    <row r="62" spans="1:15" ht="18" hidden="1" customHeight="1" outlineLevel="1">
      <c r="A62" s="2758">
        <v>3519</v>
      </c>
      <c r="B62" s="2754">
        <v>5139</v>
      </c>
      <c r="C62" s="2759"/>
      <c r="D62" s="2760"/>
      <c r="E62" s="2760"/>
      <c r="F62" s="2760"/>
      <c r="G62" s="2760"/>
      <c r="H62" s="2760"/>
      <c r="I62" s="2760"/>
      <c r="J62" s="2760"/>
      <c r="K62" s="2760"/>
      <c r="L62" s="2762">
        <f t="shared" si="0"/>
        <v>0</v>
      </c>
      <c r="M62" s="2731"/>
      <c r="N62" s="2750"/>
      <c r="O62" s="329"/>
    </row>
    <row r="63" spans="1:15" ht="18" customHeight="1" collapsed="1" thickBot="1">
      <c r="A63" s="3278" t="s">
        <v>204</v>
      </c>
      <c r="B63" s="3279"/>
      <c r="C63" s="2747"/>
      <c r="D63" s="2748">
        <v>0</v>
      </c>
      <c r="E63" s="2748">
        <v>0</v>
      </c>
      <c r="F63" s="2748">
        <v>0</v>
      </c>
      <c r="G63" s="2748">
        <v>0</v>
      </c>
      <c r="H63" s="2748">
        <v>0</v>
      </c>
      <c r="I63" s="2748">
        <v>0</v>
      </c>
      <c r="J63" s="2748">
        <v>0</v>
      </c>
      <c r="K63" s="2748">
        <f t="shared" ref="K63" si="15">SUM(K61:K62)</f>
        <v>0</v>
      </c>
      <c r="L63" s="2749">
        <f t="shared" si="0"/>
        <v>0</v>
      </c>
      <c r="M63" s="285">
        <f>'Výdaje kapitol celkem'!AS22</f>
        <v>0</v>
      </c>
      <c r="N63" s="2750">
        <f>+M63-K63</f>
        <v>0</v>
      </c>
      <c r="O63" s="329"/>
    </row>
    <row r="64" spans="1:15" ht="18" customHeight="1" outlineLevel="1">
      <c r="A64" s="2742">
        <v>3631</v>
      </c>
      <c r="B64" s="2743">
        <v>5139</v>
      </c>
      <c r="C64" s="2744" t="s">
        <v>2198</v>
      </c>
      <c r="D64" s="2745">
        <v>20000</v>
      </c>
      <c r="E64" s="2745">
        <v>20000</v>
      </c>
      <c r="F64" s="2745">
        <v>20000</v>
      </c>
      <c r="G64" s="2745">
        <v>20000</v>
      </c>
      <c r="H64" s="2745">
        <v>20000</v>
      </c>
      <c r="I64" s="2745">
        <v>20000</v>
      </c>
      <c r="J64" s="2745">
        <v>20000</v>
      </c>
      <c r="K64" s="2745">
        <f>+[3]VO!$B$5</f>
        <v>20000</v>
      </c>
      <c r="L64" s="2751">
        <f t="shared" si="0"/>
        <v>0</v>
      </c>
      <c r="M64" s="2731"/>
      <c r="N64" s="2750"/>
      <c r="O64" s="329"/>
    </row>
    <row r="65" spans="1:15" ht="18" customHeight="1" outlineLevel="1">
      <c r="A65" s="2742">
        <v>3631</v>
      </c>
      <c r="B65" s="2743">
        <v>5139</v>
      </c>
      <c r="C65" s="2744" t="s">
        <v>2199</v>
      </c>
      <c r="D65" s="2745">
        <v>60000</v>
      </c>
      <c r="E65" s="2745">
        <v>60000</v>
      </c>
      <c r="F65" s="2745">
        <v>60000</v>
      </c>
      <c r="G65" s="2745">
        <v>60000</v>
      </c>
      <c r="H65" s="2745">
        <v>60000</v>
      </c>
      <c r="I65" s="2745">
        <v>60000</v>
      </c>
      <c r="J65" s="2745">
        <v>60000</v>
      </c>
      <c r="K65" s="2745">
        <f>+[3]VO!$B$6</f>
        <v>60000</v>
      </c>
      <c r="L65" s="2751">
        <f t="shared" si="0"/>
        <v>0</v>
      </c>
      <c r="M65" s="2731"/>
      <c r="N65" s="2750"/>
      <c r="O65" s="329"/>
    </row>
    <row r="66" spans="1:15" ht="18" customHeight="1" outlineLevel="1">
      <c r="A66" s="2758">
        <v>3631</v>
      </c>
      <c r="B66" s="2754">
        <v>5139</v>
      </c>
      <c r="C66" s="2744" t="s">
        <v>2200</v>
      </c>
      <c r="D66" s="2745">
        <v>70000</v>
      </c>
      <c r="E66" s="2745">
        <v>70000</v>
      </c>
      <c r="F66" s="2745">
        <v>70000</v>
      </c>
      <c r="G66" s="2745">
        <v>70000</v>
      </c>
      <c r="H66" s="2745">
        <v>70000</v>
      </c>
      <c r="I66" s="2745">
        <v>70000</v>
      </c>
      <c r="J66" s="2745">
        <v>70000</v>
      </c>
      <c r="K66" s="2745">
        <f>+[3]VO!$B$7</f>
        <v>70000</v>
      </c>
      <c r="L66" s="2751">
        <f t="shared" si="0"/>
        <v>0</v>
      </c>
      <c r="M66" s="2731"/>
      <c r="N66" s="2750"/>
      <c r="O66" s="329"/>
    </row>
    <row r="67" spans="1:15" ht="18" customHeight="1" outlineLevel="1">
      <c r="A67" s="2758">
        <v>3631</v>
      </c>
      <c r="B67" s="2754">
        <v>5139</v>
      </c>
      <c r="C67" s="2759"/>
      <c r="D67" s="2760"/>
      <c r="E67" s="2760"/>
      <c r="F67" s="2760"/>
      <c r="G67" s="2760"/>
      <c r="H67" s="2760"/>
      <c r="I67" s="2760"/>
      <c r="J67" s="2760"/>
      <c r="K67" s="2760"/>
      <c r="L67" s="2762">
        <f t="shared" si="0"/>
        <v>0</v>
      </c>
      <c r="M67" s="2731"/>
      <c r="N67" s="2750"/>
      <c r="O67" s="329"/>
    </row>
    <row r="68" spans="1:15" ht="18" customHeight="1" thickBot="1">
      <c r="A68" s="3278" t="s">
        <v>630</v>
      </c>
      <c r="B68" s="3279"/>
      <c r="C68" s="2747"/>
      <c r="D68" s="2748">
        <v>150000</v>
      </c>
      <c r="E68" s="2748">
        <v>150000</v>
      </c>
      <c r="F68" s="2748">
        <v>150000</v>
      </c>
      <c r="G68" s="2748">
        <v>150000</v>
      </c>
      <c r="H68" s="2748">
        <v>150000</v>
      </c>
      <c r="I68" s="2748">
        <v>150000</v>
      </c>
      <c r="J68" s="2748">
        <v>150000</v>
      </c>
      <c r="K68" s="2748">
        <f t="shared" ref="K68" si="16">SUM(K64:K67)</f>
        <v>150000</v>
      </c>
      <c r="L68" s="2749">
        <f t="shared" si="0"/>
        <v>0</v>
      </c>
      <c r="M68" s="285">
        <f>'Výdaje kapitol celkem'!CG22</f>
        <v>150000</v>
      </c>
      <c r="N68" s="2750">
        <f>+M68-K68</f>
        <v>0</v>
      </c>
      <c r="O68" s="329"/>
    </row>
    <row r="69" spans="1:15" ht="18" hidden="1" customHeight="1" outlineLevel="1">
      <c r="A69" s="2742">
        <v>3429</v>
      </c>
      <c r="B69" s="2743">
        <v>5139</v>
      </c>
      <c r="C69" s="2744"/>
      <c r="D69" s="2745"/>
      <c r="E69" s="2745"/>
      <c r="F69" s="2745"/>
      <c r="G69" s="2745"/>
      <c r="H69" s="2745"/>
      <c r="I69" s="2745"/>
      <c r="J69" s="2745"/>
      <c r="K69" s="2745"/>
      <c r="L69" s="2751">
        <f t="shared" si="0"/>
        <v>0</v>
      </c>
      <c r="M69" s="2731"/>
      <c r="N69" s="2750"/>
      <c r="O69" s="329"/>
    </row>
    <row r="70" spans="1:15" ht="18" hidden="1" customHeight="1" outlineLevel="1">
      <c r="A70" s="2758">
        <v>3429</v>
      </c>
      <c r="B70" s="2754">
        <v>5139</v>
      </c>
      <c r="C70" s="2744"/>
      <c r="D70" s="2745"/>
      <c r="E70" s="2745"/>
      <c r="F70" s="2745"/>
      <c r="G70" s="2745"/>
      <c r="H70" s="2745"/>
      <c r="I70" s="2745"/>
      <c r="J70" s="2745"/>
      <c r="K70" s="2745"/>
      <c r="L70" s="2751">
        <f t="shared" ref="L70:L133" si="17">+K70-J70</f>
        <v>0</v>
      </c>
      <c r="M70" s="2731"/>
      <c r="N70" s="2750"/>
      <c r="O70" s="329"/>
    </row>
    <row r="71" spans="1:15" ht="18" hidden="1" customHeight="1" outlineLevel="1">
      <c r="A71" s="2758">
        <v>3429</v>
      </c>
      <c r="B71" s="2754">
        <v>5139</v>
      </c>
      <c r="C71" s="2759"/>
      <c r="D71" s="2763"/>
      <c r="E71" s="2763"/>
      <c r="F71" s="2763"/>
      <c r="G71" s="2763"/>
      <c r="H71" s="2763"/>
      <c r="I71" s="2763"/>
      <c r="J71" s="2763"/>
      <c r="K71" s="2763"/>
      <c r="L71" s="2762">
        <f t="shared" si="17"/>
        <v>0</v>
      </c>
      <c r="M71" s="2731"/>
      <c r="N71" s="2750"/>
      <c r="O71" s="329"/>
    </row>
    <row r="72" spans="1:15" ht="18" customHeight="1" collapsed="1" thickBot="1">
      <c r="A72" s="3278" t="s">
        <v>1199</v>
      </c>
      <c r="B72" s="3279"/>
      <c r="C72" s="2747"/>
      <c r="D72" s="2748">
        <v>0</v>
      </c>
      <c r="E72" s="2748">
        <v>0</v>
      </c>
      <c r="F72" s="2748">
        <v>0</v>
      </c>
      <c r="G72" s="2748">
        <v>0</v>
      </c>
      <c r="H72" s="2748">
        <v>0</v>
      </c>
      <c r="I72" s="2748">
        <v>0</v>
      </c>
      <c r="J72" s="2748">
        <v>0</v>
      </c>
      <c r="K72" s="2748">
        <f t="shared" ref="K72" si="18">SUM(K69:K71)</f>
        <v>0</v>
      </c>
      <c r="L72" s="2749">
        <f t="shared" si="17"/>
        <v>0</v>
      </c>
      <c r="M72" s="285">
        <f>'Výdaje kapitol celkem'!AT22</f>
        <v>0</v>
      </c>
      <c r="N72" s="2750">
        <f>+M72-K72</f>
        <v>0</v>
      </c>
      <c r="O72" s="329"/>
    </row>
    <row r="73" spans="1:15" ht="18" customHeight="1" outlineLevel="1">
      <c r="A73" s="2742">
        <v>3632</v>
      </c>
      <c r="B73" s="2743">
        <v>5139</v>
      </c>
      <c r="C73" s="2744" t="s">
        <v>1728</v>
      </c>
      <c r="D73" s="2745">
        <v>30000</v>
      </c>
      <c r="E73" s="2745">
        <v>30000</v>
      </c>
      <c r="F73" s="2745">
        <v>30000</v>
      </c>
      <c r="G73" s="2745">
        <v>30000</v>
      </c>
      <c r="H73" s="2745">
        <v>30000</v>
      </c>
      <c r="I73" s="2745">
        <v>30000</v>
      </c>
      <c r="J73" s="2745">
        <v>30000</v>
      </c>
      <c r="K73" s="2745">
        <f>+[3]Hřbitov!$B$5</f>
        <v>20000</v>
      </c>
      <c r="L73" s="2751">
        <f t="shared" si="17"/>
        <v>-10000</v>
      </c>
      <c r="M73" s="2731"/>
      <c r="N73" s="2750"/>
      <c r="O73" s="329"/>
    </row>
    <row r="74" spans="1:15" ht="18" customHeight="1" outlineLevel="1">
      <c r="A74" s="2758">
        <v>3632</v>
      </c>
      <c r="B74" s="2754">
        <v>5139</v>
      </c>
      <c r="C74" s="2744" t="s">
        <v>2191</v>
      </c>
      <c r="D74" s="2745">
        <v>20000</v>
      </c>
      <c r="E74" s="2745">
        <v>20000</v>
      </c>
      <c r="F74" s="2745">
        <v>20000</v>
      </c>
      <c r="G74" s="2745">
        <v>20000</v>
      </c>
      <c r="H74" s="2745">
        <v>20000</v>
      </c>
      <c r="I74" s="2745">
        <v>20000</v>
      </c>
      <c r="J74" s="2745">
        <v>20000</v>
      </c>
      <c r="K74" s="2745">
        <f>+[3]Hřbitov!$B$6</f>
        <v>0</v>
      </c>
      <c r="L74" s="2751">
        <f t="shared" si="17"/>
        <v>-20000</v>
      </c>
      <c r="M74" s="2731"/>
      <c r="N74" s="2750"/>
      <c r="O74" s="329"/>
    </row>
    <row r="75" spans="1:15" ht="18" customHeight="1" outlineLevel="1">
      <c r="A75" s="2758">
        <v>3632</v>
      </c>
      <c r="B75" s="2754">
        <v>5139</v>
      </c>
      <c r="C75" s="2759"/>
      <c r="D75" s="2763"/>
      <c r="E75" s="2763"/>
      <c r="F75" s="2763"/>
      <c r="G75" s="2763"/>
      <c r="H75" s="2763"/>
      <c r="I75" s="2763"/>
      <c r="J75" s="2763"/>
      <c r="K75" s="2763"/>
      <c r="L75" s="2762">
        <f t="shared" si="17"/>
        <v>0</v>
      </c>
      <c r="M75" s="2731"/>
      <c r="N75" s="2750"/>
      <c r="O75" s="329"/>
    </row>
    <row r="76" spans="1:15" ht="18" customHeight="1" thickBot="1">
      <c r="A76" s="3278" t="s">
        <v>253</v>
      </c>
      <c r="B76" s="3279"/>
      <c r="C76" s="2747"/>
      <c r="D76" s="2748">
        <v>50000</v>
      </c>
      <c r="E76" s="2748">
        <v>50000</v>
      </c>
      <c r="F76" s="2748">
        <v>50000</v>
      </c>
      <c r="G76" s="2748">
        <v>50000</v>
      </c>
      <c r="H76" s="2748">
        <v>50000</v>
      </c>
      <c r="I76" s="2748">
        <v>50000</v>
      </c>
      <c r="J76" s="2748">
        <v>50000</v>
      </c>
      <c r="K76" s="2748">
        <f t="shared" ref="K76" si="19">SUM(K73:K75)</f>
        <v>20000</v>
      </c>
      <c r="L76" s="2749">
        <f t="shared" si="17"/>
        <v>-30000</v>
      </c>
      <c r="M76" s="285">
        <f>'Výdaje kapitol celkem'!AU22</f>
        <v>20000</v>
      </c>
      <c r="N76" s="2750">
        <f>+M76-K76</f>
        <v>0</v>
      </c>
      <c r="O76" s="329"/>
    </row>
    <row r="77" spans="1:15" ht="18" hidden="1" customHeight="1" outlineLevel="1">
      <c r="A77" s="2742">
        <v>3412</v>
      </c>
      <c r="B77" s="2743">
        <v>5139</v>
      </c>
      <c r="C77" s="2744"/>
      <c r="D77" s="2745"/>
      <c r="E77" s="2745"/>
      <c r="F77" s="2745"/>
      <c r="G77" s="2745"/>
      <c r="H77" s="2745"/>
      <c r="I77" s="2745"/>
      <c r="J77" s="2745"/>
      <c r="K77" s="2745"/>
      <c r="L77" s="2751">
        <f t="shared" si="17"/>
        <v>0</v>
      </c>
      <c r="M77" s="2731"/>
      <c r="N77" s="2750"/>
      <c r="O77" s="329"/>
    </row>
    <row r="78" spans="1:15" ht="18" hidden="1" customHeight="1" outlineLevel="1">
      <c r="A78" s="2758">
        <v>3412</v>
      </c>
      <c r="B78" s="2754">
        <v>5139</v>
      </c>
      <c r="C78" s="2744"/>
      <c r="D78" s="2745"/>
      <c r="E78" s="2745"/>
      <c r="F78" s="2745"/>
      <c r="G78" s="2745"/>
      <c r="H78" s="2745"/>
      <c r="I78" s="2745"/>
      <c r="J78" s="2745"/>
      <c r="K78" s="2745"/>
      <c r="L78" s="2751">
        <f t="shared" si="17"/>
        <v>0</v>
      </c>
      <c r="M78" s="2731"/>
      <c r="N78" s="2750"/>
      <c r="O78" s="329"/>
    </row>
    <row r="79" spans="1:15" ht="18" customHeight="1" collapsed="1" thickBot="1">
      <c r="A79" s="3278" t="s">
        <v>625</v>
      </c>
      <c r="B79" s="3279"/>
      <c r="C79" s="2747"/>
      <c r="D79" s="2748">
        <v>0</v>
      </c>
      <c r="E79" s="2748">
        <v>0</v>
      </c>
      <c r="F79" s="2748">
        <v>0</v>
      </c>
      <c r="G79" s="2748">
        <v>0</v>
      </c>
      <c r="H79" s="2748">
        <v>0</v>
      </c>
      <c r="I79" s="2748">
        <v>0</v>
      </c>
      <c r="J79" s="2748">
        <v>0</v>
      </c>
      <c r="K79" s="2748">
        <f t="shared" ref="K79" si="20">SUM(K77:K78)</f>
        <v>0</v>
      </c>
      <c r="L79" s="2749">
        <f t="shared" si="17"/>
        <v>0</v>
      </c>
      <c r="M79" s="285">
        <f>'Výdaje kapitol celkem'!AX22</f>
        <v>0</v>
      </c>
      <c r="N79" s="2750">
        <f>+M79-K79</f>
        <v>0</v>
      </c>
      <c r="O79" s="329"/>
    </row>
    <row r="80" spans="1:15" ht="18" hidden="1" customHeight="1" outlineLevel="1">
      <c r="A80" s="2775">
        <v>3113</v>
      </c>
      <c r="B80" s="2776">
        <v>5139</v>
      </c>
      <c r="C80" s="2755"/>
      <c r="D80" s="2756"/>
      <c r="E80" s="2756"/>
      <c r="F80" s="2756"/>
      <c r="G80" s="2756"/>
      <c r="H80" s="2756"/>
      <c r="I80" s="2756"/>
      <c r="J80" s="2756"/>
      <c r="K80" s="2756"/>
      <c r="L80" s="2757">
        <f t="shared" si="17"/>
        <v>0</v>
      </c>
      <c r="M80" s="2731"/>
      <c r="N80" s="2750"/>
      <c r="O80" s="329"/>
    </row>
    <row r="81" spans="1:15" ht="18" hidden="1" customHeight="1" outlineLevel="1">
      <c r="A81" s="2777">
        <v>3113</v>
      </c>
      <c r="B81" s="2778">
        <v>5139</v>
      </c>
      <c r="C81" s="2759"/>
      <c r="D81" s="2760"/>
      <c r="E81" s="2760"/>
      <c r="F81" s="2760"/>
      <c r="G81" s="2760"/>
      <c r="H81" s="2760"/>
      <c r="I81" s="2760"/>
      <c r="J81" s="2760"/>
      <c r="K81" s="2760"/>
      <c r="L81" s="2762">
        <f t="shared" si="17"/>
        <v>0</v>
      </c>
      <c r="M81" s="2731"/>
      <c r="N81" s="2750"/>
      <c r="O81" s="329"/>
    </row>
    <row r="82" spans="1:15" ht="18" hidden="1" customHeight="1" outlineLevel="1">
      <c r="A82" s="2777">
        <v>3113</v>
      </c>
      <c r="B82" s="2778">
        <v>5139</v>
      </c>
      <c r="C82" s="2759"/>
      <c r="D82" s="2760"/>
      <c r="E82" s="2760"/>
      <c r="F82" s="2760"/>
      <c r="G82" s="2760"/>
      <c r="H82" s="2760"/>
      <c r="I82" s="2760"/>
      <c r="J82" s="2760"/>
      <c r="K82" s="2760"/>
      <c r="L82" s="2762">
        <f t="shared" si="17"/>
        <v>0</v>
      </c>
      <c r="M82" s="2731"/>
      <c r="N82" s="2750"/>
      <c r="O82" s="329"/>
    </row>
    <row r="83" spans="1:15" ht="18" hidden="1" customHeight="1" outlineLevel="1">
      <c r="A83" s="2777">
        <v>3113</v>
      </c>
      <c r="B83" s="2778">
        <v>5139</v>
      </c>
      <c r="C83" s="2755"/>
      <c r="D83" s="2756"/>
      <c r="E83" s="2756"/>
      <c r="F83" s="2756"/>
      <c r="G83" s="2756"/>
      <c r="H83" s="2756"/>
      <c r="I83" s="2756"/>
      <c r="J83" s="2756"/>
      <c r="K83" s="2756"/>
      <c r="L83" s="2751">
        <f t="shared" si="17"/>
        <v>0</v>
      </c>
      <c r="M83" s="2731"/>
      <c r="N83" s="2750"/>
      <c r="O83" s="329"/>
    </row>
    <row r="84" spans="1:15" ht="18" customHeight="1" collapsed="1" thickBot="1">
      <c r="A84" s="3278" t="s">
        <v>205</v>
      </c>
      <c r="B84" s="3279"/>
      <c r="C84" s="2747"/>
      <c r="D84" s="2748">
        <v>0</v>
      </c>
      <c r="E84" s="2748">
        <v>0</v>
      </c>
      <c r="F84" s="2748">
        <v>0</v>
      </c>
      <c r="G84" s="2748">
        <v>0</v>
      </c>
      <c r="H84" s="2748">
        <v>0</v>
      </c>
      <c r="I84" s="2748">
        <v>0</v>
      </c>
      <c r="J84" s="2748">
        <v>0</v>
      </c>
      <c r="K84" s="2748">
        <f t="shared" ref="K84" si="21">SUM(K80:K83)</f>
        <v>0</v>
      </c>
      <c r="L84" s="2749">
        <f t="shared" si="17"/>
        <v>0</v>
      </c>
      <c r="M84" s="285">
        <f>'Výdaje kapitol celkem'!BG22</f>
        <v>0</v>
      </c>
      <c r="N84" s="2750">
        <f>+M84-K84</f>
        <v>0</v>
      </c>
      <c r="O84" s="329"/>
    </row>
    <row r="85" spans="1:15" ht="18" hidden="1" customHeight="1" outlineLevel="1">
      <c r="A85" s="2775">
        <v>3114</v>
      </c>
      <c r="B85" s="2776">
        <v>5139</v>
      </c>
      <c r="C85" s="2755"/>
      <c r="D85" s="2756"/>
      <c r="E85" s="2756"/>
      <c r="F85" s="2756"/>
      <c r="G85" s="2756"/>
      <c r="H85" s="2756"/>
      <c r="I85" s="2756"/>
      <c r="J85" s="2756"/>
      <c r="K85" s="2756"/>
      <c r="L85" s="2751">
        <f t="shared" si="17"/>
        <v>0</v>
      </c>
      <c r="M85" s="2731"/>
      <c r="N85" s="2750"/>
      <c r="O85" s="329"/>
    </row>
    <row r="86" spans="1:15" ht="18" hidden="1" customHeight="1" outlineLevel="1">
      <c r="A86" s="2777">
        <v>3114</v>
      </c>
      <c r="B86" s="2778">
        <v>5139</v>
      </c>
      <c r="C86" s="2781"/>
      <c r="D86" s="2779"/>
      <c r="E86" s="2779"/>
      <c r="F86" s="2779"/>
      <c r="G86" s="2779"/>
      <c r="H86" s="2779"/>
      <c r="I86" s="2779"/>
      <c r="J86" s="2779"/>
      <c r="K86" s="2779"/>
      <c r="L86" s="2751">
        <f t="shared" si="17"/>
        <v>0</v>
      </c>
      <c r="M86" s="2731"/>
      <c r="N86" s="2750"/>
      <c r="O86" s="329"/>
    </row>
    <row r="87" spans="1:15" ht="18" customHeight="1" collapsed="1" thickBot="1">
      <c r="A87" s="3278" t="s">
        <v>206</v>
      </c>
      <c r="B87" s="3279"/>
      <c r="C87" s="2747"/>
      <c r="D87" s="2748">
        <v>0</v>
      </c>
      <c r="E87" s="2748">
        <v>0</v>
      </c>
      <c r="F87" s="2748">
        <v>0</v>
      </c>
      <c r="G87" s="2748">
        <v>0</v>
      </c>
      <c r="H87" s="2748">
        <v>0</v>
      </c>
      <c r="I87" s="2748">
        <v>0</v>
      </c>
      <c r="J87" s="2748">
        <v>0</v>
      </c>
      <c r="K87" s="2748">
        <f t="shared" ref="K87" si="22">SUM(K85:K86)</f>
        <v>0</v>
      </c>
      <c r="L87" s="2749">
        <f t="shared" si="17"/>
        <v>0</v>
      </c>
      <c r="M87" s="285">
        <f>'Výdaje kapitol celkem'!BP22</f>
        <v>0</v>
      </c>
      <c r="N87" s="2750">
        <f>+M87-K87</f>
        <v>0</v>
      </c>
      <c r="O87" s="329"/>
    </row>
    <row r="88" spans="1:15" ht="18" hidden="1" customHeight="1" outlineLevel="1">
      <c r="A88" s="2775" t="s">
        <v>192</v>
      </c>
      <c r="B88" s="2776">
        <v>5139</v>
      </c>
      <c r="C88" s="2755"/>
      <c r="D88" s="2756"/>
      <c r="E88" s="2756"/>
      <c r="F88" s="2756"/>
      <c r="G88" s="2756"/>
      <c r="H88" s="2756"/>
      <c r="I88" s="2756"/>
      <c r="J88" s="2756"/>
      <c r="K88" s="2756"/>
      <c r="L88" s="2751">
        <f t="shared" si="17"/>
        <v>0</v>
      </c>
      <c r="M88" s="2731"/>
      <c r="N88" s="2750"/>
      <c r="O88" s="329"/>
    </row>
    <row r="89" spans="1:15" ht="18" hidden="1" customHeight="1" outlineLevel="1">
      <c r="A89" s="2777" t="s">
        <v>192</v>
      </c>
      <c r="B89" s="2778">
        <v>5139</v>
      </c>
      <c r="C89" s="2781"/>
      <c r="D89" s="2780"/>
      <c r="E89" s="2780"/>
      <c r="F89" s="2780"/>
      <c r="G89" s="2780"/>
      <c r="H89" s="2780"/>
      <c r="I89" s="2780"/>
      <c r="J89" s="2780"/>
      <c r="K89" s="2780"/>
      <c r="L89" s="2762">
        <f t="shared" si="17"/>
        <v>0</v>
      </c>
      <c r="M89" s="2731"/>
      <c r="N89" s="2750"/>
      <c r="O89" s="329"/>
    </row>
    <row r="90" spans="1:15" ht="18" customHeight="1" collapsed="1" thickBot="1">
      <c r="A90" s="3278" t="s">
        <v>207</v>
      </c>
      <c r="B90" s="3279"/>
      <c r="C90" s="2747"/>
      <c r="D90" s="2748">
        <v>0</v>
      </c>
      <c r="E90" s="2748">
        <v>0</v>
      </c>
      <c r="F90" s="2748">
        <v>0</v>
      </c>
      <c r="G90" s="2748">
        <v>0</v>
      </c>
      <c r="H90" s="2748">
        <v>0</v>
      </c>
      <c r="I90" s="2748">
        <v>0</v>
      </c>
      <c r="J90" s="2748">
        <v>0</v>
      </c>
      <c r="K90" s="2748">
        <f t="shared" ref="K90" si="23">SUM(K88:K89)</f>
        <v>0</v>
      </c>
      <c r="L90" s="2749">
        <f t="shared" si="17"/>
        <v>0</v>
      </c>
      <c r="M90" s="285">
        <f>'Výdaje kapitol celkem'!BV22</f>
        <v>0</v>
      </c>
      <c r="N90" s="2750">
        <f>+M90-K90</f>
        <v>0</v>
      </c>
      <c r="O90" s="329"/>
    </row>
    <row r="91" spans="1:15" ht="18" hidden="1" customHeight="1" outlineLevel="1">
      <c r="A91" s="2775" t="s">
        <v>193</v>
      </c>
      <c r="B91" s="2776">
        <v>5139</v>
      </c>
      <c r="C91" s="2755"/>
      <c r="D91" s="2756"/>
      <c r="E91" s="2756"/>
      <c r="F91" s="2756"/>
      <c r="G91" s="2756"/>
      <c r="H91" s="2756"/>
      <c r="I91" s="2756"/>
      <c r="J91" s="2756"/>
      <c r="K91" s="2756"/>
      <c r="L91" s="2751">
        <f t="shared" si="17"/>
        <v>0</v>
      </c>
      <c r="M91" s="2731"/>
      <c r="N91" s="2750"/>
      <c r="O91" s="329"/>
    </row>
    <row r="92" spans="1:15" ht="18" hidden="1" customHeight="1" outlineLevel="1">
      <c r="A92" s="2777" t="s">
        <v>193</v>
      </c>
      <c r="B92" s="2778">
        <v>5139</v>
      </c>
      <c r="C92" s="2781"/>
      <c r="D92" s="2779"/>
      <c r="E92" s="2779"/>
      <c r="F92" s="2779"/>
      <c r="G92" s="2779"/>
      <c r="H92" s="2779"/>
      <c r="I92" s="2779"/>
      <c r="J92" s="2779"/>
      <c r="K92" s="2779"/>
      <c r="L92" s="2762">
        <f t="shared" si="17"/>
        <v>0</v>
      </c>
      <c r="M92" s="2731"/>
      <c r="N92" s="2750"/>
      <c r="O92" s="329"/>
    </row>
    <row r="93" spans="1:15" ht="18" customHeight="1" collapsed="1" thickBot="1">
      <c r="A93" s="3278" t="s">
        <v>2991</v>
      </c>
      <c r="B93" s="3279"/>
      <c r="C93" s="2747"/>
      <c r="D93" s="2748">
        <v>0</v>
      </c>
      <c r="E93" s="2748">
        <v>0</v>
      </c>
      <c r="F93" s="2748">
        <v>0</v>
      </c>
      <c r="G93" s="2748">
        <v>0</v>
      </c>
      <c r="H93" s="2748">
        <v>0</v>
      </c>
      <c r="I93" s="2748">
        <v>0</v>
      </c>
      <c r="J93" s="2748">
        <v>0</v>
      </c>
      <c r="K93" s="2748">
        <f t="shared" ref="K93" si="24">SUM(K91:K92)</f>
        <v>0</v>
      </c>
      <c r="L93" s="2749">
        <f t="shared" si="17"/>
        <v>0</v>
      </c>
      <c r="M93" s="285">
        <f>'Výdaje kapitol celkem'!BS22</f>
        <v>0</v>
      </c>
      <c r="N93" s="2750">
        <f>+M93-K93</f>
        <v>0</v>
      </c>
      <c r="O93" s="329"/>
    </row>
    <row r="94" spans="1:15" ht="18" hidden="1" customHeight="1" outlineLevel="1">
      <c r="A94" s="2775" t="s">
        <v>218</v>
      </c>
      <c r="B94" s="2776">
        <v>5139</v>
      </c>
      <c r="C94" s="2755"/>
      <c r="D94" s="2740"/>
      <c r="E94" s="2740"/>
      <c r="F94" s="2740"/>
      <c r="G94" s="2740"/>
      <c r="H94" s="2740"/>
      <c r="I94" s="2740"/>
      <c r="J94" s="2740"/>
      <c r="K94" s="2740"/>
      <c r="L94" s="2751">
        <f t="shared" si="17"/>
        <v>0</v>
      </c>
      <c r="M94" s="2731"/>
      <c r="N94" s="2750"/>
      <c r="O94" s="329"/>
    </row>
    <row r="95" spans="1:15" ht="18" hidden="1" customHeight="1" outlineLevel="1">
      <c r="A95" s="2777" t="s">
        <v>218</v>
      </c>
      <c r="B95" s="2778">
        <v>5139</v>
      </c>
      <c r="C95" s="2781"/>
      <c r="D95" s="2760"/>
      <c r="E95" s="2760"/>
      <c r="F95" s="2760"/>
      <c r="G95" s="2760"/>
      <c r="H95" s="2760"/>
      <c r="I95" s="2760"/>
      <c r="J95" s="2760"/>
      <c r="K95" s="2760"/>
      <c r="L95" s="2762">
        <f t="shared" si="17"/>
        <v>0</v>
      </c>
      <c r="M95" s="2731"/>
      <c r="N95" s="2750"/>
      <c r="O95" s="329"/>
    </row>
    <row r="96" spans="1:15" ht="18" hidden="1" customHeight="1" outlineLevel="1">
      <c r="A96" s="2777" t="s">
        <v>218</v>
      </c>
      <c r="B96" s="2778">
        <v>5139</v>
      </c>
      <c r="C96" s="2781"/>
      <c r="D96" s="2756"/>
      <c r="E96" s="2756"/>
      <c r="F96" s="2756"/>
      <c r="G96" s="2756"/>
      <c r="H96" s="2756"/>
      <c r="I96" s="2756"/>
      <c r="J96" s="2756"/>
      <c r="K96" s="2756"/>
      <c r="L96" s="2762">
        <f t="shared" si="17"/>
        <v>0</v>
      </c>
      <c r="M96" s="2731"/>
      <c r="N96" s="2750"/>
      <c r="O96" s="329"/>
    </row>
    <row r="97" spans="1:15" ht="18" customHeight="1" collapsed="1" thickBot="1">
      <c r="A97" s="3278" t="s">
        <v>249</v>
      </c>
      <c r="B97" s="3279"/>
      <c r="C97" s="2747"/>
      <c r="D97" s="2748">
        <v>0</v>
      </c>
      <c r="E97" s="2748">
        <v>0</v>
      </c>
      <c r="F97" s="2748">
        <v>0</v>
      </c>
      <c r="G97" s="2748">
        <v>0</v>
      </c>
      <c r="H97" s="2748">
        <v>0</v>
      </c>
      <c r="I97" s="2748">
        <v>0</v>
      </c>
      <c r="J97" s="2748">
        <v>0</v>
      </c>
      <c r="K97" s="2748">
        <f t="shared" ref="K97" si="25">SUM(K94:K96)</f>
        <v>0</v>
      </c>
      <c r="L97" s="2749">
        <f t="shared" si="17"/>
        <v>0</v>
      </c>
      <c r="M97" s="285">
        <f>'Výdaje kapitol celkem'!CC22</f>
        <v>0</v>
      </c>
      <c r="N97" s="2750">
        <f>+M97-K97</f>
        <v>0</v>
      </c>
      <c r="O97" s="329"/>
    </row>
    <row r="98" spans="1:15" ht="18" hidden="1" customHeight="1" outlineLevel="1">
      <c r="A98" s="2775">
        <v>3635</v>
      </c>
      <c r="B98" s="2776">
        <v>5139</v>
      </c>
      <c r="C98" s="2755"/>
      <c r="D98" s="2756"/>
      <c r="E98" s="2756"/>
      <c r="F98" s="2756"/>
      <c r="G98" s="2756"/>
      <c r="H98" s="2756"/>
      <c r="I98" s="2756"/>
      <c r="J98" s="2756"/>
      <c r="K98" s="2756"/>
      <c r="L98" s="2746">
        <f t="shared" si="17"/>
        <v>0</v>
      </c>
      <c r="M98" s="2731"/>
      <c r="N98" s="2750"/>
      <c r="O98" s="329"/>
    </row>
    <row r="99" spans="1:15" ht="18" hidden="1" customHeight="1" outlineLevel="1">
      <c r="A99" s="2777">
        <v>3635</v>
      </c>
      <c r="B99" s="2778">
        <v>5139</v>
      </c>
      <c r="C99" s="2781"/>
      <c r="D99" s="2780"/>
      <c r="E99" s="2780"/>
      <c r="F99" s="2780"/>
      <c r="G99" s="2780"/>
      <c r="H99" s="2780"/>
      <c r="I99" s="2780"/>
      <c r="J99" s="2780"/>
      <c r="K99" s="2780"/>
      <c r="L99" s="2761">
        <f t="shared" si="17"/>
        <v>0</v>
      </c>
      <c r="M99" s="2731"/>
      <c r="N99" s="2750"/>
      <c r="O99" s="329"/>
    </row>
    <row r="100" spans="1:15" ht="18" customHeight="1" collapsed="1" thickBot="1">
      <c r="A100" s="3278" t="s">
        <v>151</v>
      </c>
      <c r="B100" s="3279"/>
      <c r="C100" s="2747"/>
      <c r="D100" s="2748">
        <v>0</v>
      </c>
      <c r="E100" s="2748">
        <v>0</v>
      </c>
      <c r="F100" s="2748">
        <v>0</v>
      </c>
      <c r="G100" s="2748">
        <v>0</v>
      </c>
      <c r="H100" s="2748">
        <v>0</v>
      </c>
      <c r="I100" s="2748">
        <v>0</v>
      </c>
      <c r="J100" s="2748">
        <v>0</v>
      </c>
      <c r="K100" s="2748">
        <f t="shared" ref="K100" si="26">SUM(K98:K99)</f>
        <v>0</v>
      </c>
      <c r="L100" s="2749">
        <f t="shared" si="17"/>
        <v>0</v>
      </c>
      <c r="M100" s="285">
        <f>'Výdaje kapitol celkem'!CF22</f>
        <v>0</v>
      </c>
      <c r="N100" s="2750">
        <f>+M100-K100</f>
        <v>0</v>
      </c>
      <c r="O100" s="329"/>
    </row>
    <row r="101" spans="1:15" ht="18" hidden="1" customHeight="1" outlineLevel="1">
      <c r="A101" s="2775" t="s">
        <v>194</v>
      </c>
      <c r="B101" s="2776">
        <v>5139</v>
      </c>
      <c r="C101" s="2755"/>
      <c r="D101" s="2756"/>
      <c r="E101" s="2756"/>
      <c r="F101" s="2756"/>
      <c r="G101" s="2756"/>
      <c r="H101" s="2756"/>
      <c r="I101" s="2756"/>
      <c r="J101" s="2756"/>
      <c r="K101" s="2756"/>
      <c r="L101" s="2746">
        <f t="shared" si="17"/>
        <v>0</v>
      </c>
      <c r="M101" s="2731"/>
      <c r="N101" s="2750"/>
      <c r="O101" s="329"/>
    </row>
    <row r="102" spans="1:15" ht="18" hidden="1" customHeight="1" outlineLevel="1">
      <c r="A102" s="2777" t="s">
        <v>194</v>
      </c>
      <c r="B102" s="2778">
        <v>5139</v>
      </c>
      <c r="C102" s="2781"/>
      <c r="D102" s="2780"/>
      <c r="E102" s="2780"/>
      <c r="F102" s="2780"/>
      <c r="G102" s="2780"/>
      <c r="H102" s="2780"/>
      <c r="I102" s="2780"/>
      <c r="J102" s="2780"/>
      <c r="K102" s="2780"/>
      <c r="L102" s="2761">
        <f t="shared" si="17"/>
        <v>0</v>
      </c>
      <c r="M102" s="2731"/>
      <c r="N102" s="2750"/>
      <c r="O102" s="329"/>
    </row>
    <row r="103" spans="1:15" ht="18" customHeight="1" collapsed="1" thickBot="1">
      <c r="A103" s="3278" t="s">
        <v>209</v>
      </c>
      <c r="B103" s="3279"/>
      <c r="C103" s="2747"/>
      <c r="D103" s="2748">
        <v>0</v>
      </c>
      <c r="E103" s="2748">
        <v>0</v>
      </c>
      <c r="F103" s="2748">
        <v>0</v>
      </c>
      <c r="G103" s="2748">
        <v>0</v>
      </c>
      <c r="H103" s="2748">
        <v>0</v>
      </c>
      <c r="I103" s="2748">
        <v>0</v>
      </c>
      <c r="J103" s="2748">
        <v>0</v>
      </c>
      <c r="K103" s="2748">
        <f t="shared" ref="K103" si="27">SUM(K101:K102)</f>
        <v>0</v>
      </c>
      <c r="L103" s="2749">
        <f t="shared" si="17"/>
        <v>0</v>
      </c>
      <c r="M103" s="285">
        <f>'Výdaje kapitol celkem'!BY22</f>
        <v>0</v>
      </c>
      <c r="N103" s="2750">
        <f>+M103-K103</f>
        <v>0</v>
      </c>
      <c r="O103" s="329"/>
    </row>
    <row r="104" spans="1:15" ht="18" hidden="1" customHeight="1" outlineLevel="1">
      <c r="A104" s="2775" t="s">
        <v>195</v>
      </c>
      <c r="B104" s="2776">
        <v>5139</v>
      </c>
      <c r="C104" s="2755"/>
      <c r="D104" s="2756"/>
      <c r="E104" s="2756"/>
      <c r="F104" s="2756"/>
      <c r="G104" s="2756"/>
      <c r="H104" s="2756"/>
      <c r="I104" s="2756"/>
      <c r="J104" s="2756"/>
      <c r="K104" s="2756"/>
      <c r="L104" s="2746">
        <f t="shared" si="17"/>
        <v>0</v>
      </c>
      <c r="M104" s="2731"/>
      <c r="N104" s="2750"/>
      <c r="O104" s="329"/>
    </row>
    <row r="105" spans="1:15" ht="18" hidden="1" customHeight="1" outlineLevel="1">
      <c r="A105" s="2777" t="s">
        <v>195</v>
      </c>
      <c r="B105" s="2778">
        <v>5139</v>
      </c>
      <c r="C105" s="2781"/>
      <c r="D105" s="2779"/>
      <c r="E105" s="2779"/>
      <c r="F105" s="2779"/>
      <c r="G105" s="2779"/>
      <c r="H105" s="2779"/>
      <c r="I105" s="2779"/>
      <c r="J105" s="2779"/>
      <c r="K105" s="2779"/>
      <c r="L105" s="2762">
        <f t="shared" si="17"/>
        <v>0</v>
      </c>
      <c r="M105" s="2731"/>
      <c r="N105" s="2750"/>
      <c r="O105" s="329"/>
    </row>
    <row r="106" spans="1:15" ht="18" customHeight="1" collapsed="1" thickBot="1">
      <c r="A106" s="3278" t="s">
        <v>210</v>
      </c>
      <c r="B106" s="3279"/>
      <c r="C106" s="2747"/>
      <c r="D106" s="2748">
        <v>0</v>
      </c>
      <c r="E106" s="2748">
        <v>0</v>
      </c>
      <c r="F106" s="2748">
        <v>0</v>
      </c>
      <c r="G106" s="2748">
        <v>0</v>
      </c>
      <c r="H106" s="2748">
        <v>0</v>
      </c>
      <c r="I106" s="2748">
        <v>0</v>
      </c>
      <c r="J106" s="2748">
        <v>0</v>
      </c>
      <c r="K106" s="2748">
        <f t="shared" ref="K106" si="28">SUM(K104:K105)</f>
        <v>0</v>
      </c>
      <c r="L106" s="2749">
        <f t="shared" si="17"/>
        <v>0</v>
      </c>
      <c r="M106" s="285">
        <f>'Výdaje kapitol celkem'!CB22</f>
        <v>0</v>
      </c>
      <c r="N106" s="2750">
        <f>+M106-K106</f>
        <v>0</v>
      </c>
      <c r="O106" s="329"/>
    </row>
    <row r="107" spans="1:15" ht="18" customHeight="1" outlineLevel="1">
      <c r="A107" s="2737">
        <v>2212</v>
      </c>
      <c r="B107" s="2738">
        <v>5139</v>
      </c>
      <c r="C107" s="2739" t="s">
        <v>2180</v>
      </c>
      <c r="D107" s="2740">
        <v>150000</v>
      </c>
      <c r="E107" s="2740">
        <v>150000</v>
      </c>
      <c r="F107" s="2740">
        <v>150000</v>
      </c>
      <c r="G107" s="2740">
        <v>150000</v>
      </c>
      <c r="H107" s="2740">
        <v>150000</v>
      </c>
      <c r="I107" s="2740">
        <v>150000</v>
      </c>
      <c r="J107" s="2740">
        <v>150000</v>
      </c>
      <c r="K107" s="2740">
        <f>+'[4]Silnice nákup materiálu'!$B$4</f>
        <v>150000</v>
      </c>
      <c r="L107" s="2741">
        <f t="shared" si="17"/>
        <v>0</v>
      </c>
      <c r="M107" s="2731"/>
      <c r="N107" s="2750"/>
      <c r="O107" s="329"/>
    </row>
    <row r="108" spans="1:15" ht="18" customHeight="1" outlineLevel="1">
      <c r="A108" s="2758">
        <v>2212</v>
      </c>
      <c r="B108" s="2754">
        <v>5139</v>
      </c>
      <c r="C108" s="2759" t="s">
        <v>2333</v>
      </c>
      <c r="D108" s="2760">
        <v>500000</v>
      </c>
      <c r="E108" s="2760">
        <v>500000</v>
      </c>
      <c r="F108" s="2760">
        <v>500000</v>
      </c>
      <c r="G108" s="2760">
        <v>500000</v>
      </c>
      <c r="H108" s="2760">
        <v>500000</v>
      </c>
      <c r="I108" s="2760">
        <v>500000</v>
      </c>
      <c r="J108" s="2760">
        <v>500000</v>
      </c>
      <c r="K108" s="2760">
        <f>+'[4]Silnice nákup materiálu'!$B$5</f>
        <v>100000</v>
      </c>
      <c r="L108" s="2762">
        <f t="shared" si="17"/>
        <v>-400000</v>
      </c>
      <c r="M108" s="2731"/>
      <c r="N108" s="2750"/>
      <c r="O108" s="329"/>
    </row>
    <row r="109" spans="1:15" ht="18" customHeight="1" outlineLevel="1">
      <c r="A109" s="2758">
        <v>2212</v>
      </c>
      <c r="B109" s="2754">
        <v>5139</v>
      </c>
      <c r="C109" s="2759" t="s">
        <v>2334</v>
      </c>
      <c r="D109" s="2760">
        <v>500000</v>
      </c>
      <c r="E109" s="2760">
        <v>500000</v>
      </c>
      <c r="F109" s="2760">
        <v>500000</v>
      </c>
      <c r="G109" s="2760">
        <v>500000</v>
      </c>
      <c r="H109" s="2760">
        <v>500000</v>
      </c>
      <c r="I109" s="2760">
        <v>500000</v>
      </c>
      <c r="J109" s="2760">
        <v>500000</v>
      </c>
      <c r="K109" s="2760">
        <f>+'[4]Silnice nákup materiálu'!$B$6</f>
        <v>100000</v>
      </c>
      <c r="L109" s="2762">
        <f t="shared" si="17"/>
        <v>-400000</v>
      </c>
      <c r="M109" s="2731"/>
      <c r="N109" s="2750"/>
      <c r="O109" s="329"/>
    </row>
    <row r="110" spans="1:15" ht="18" customHeight="1" outlineLevel="1">
      <c r="A110" s="2758">
        <v>2212</v>
      </c>
      <c r="B110" s="2754">
        <v>5139</v>
      </c>
      <c r="C110" s="2759" t="s">
        <v>2335</v>
      </c>
      <c r="D110" s="2760">
        <v>500000</v>
      </c>
      <c r="E110" s="2760">
        <v>500000</v>
      </c>
      <c r="F110" s="2760">
        <v>500000</v>
      </c>
      <c r="G110" s="2760">
        <v>500000</v>
      </c>
      <c r="H110" s="2760">
        <v>500000</v>
      </c>
      <c r="I110" s="2760">
        <v>500000</v>
      </c>
      <c r="J110" s="2760">
        <v>500000</v>
      </c>
      <c r="K110" s="2760">
        <f>+'[4]Silnice nákup materiálu'!$B$7</f>
        <v>100000</v>
      </c>
      <c r="L110" s="2762">
        <f t="shared" si="17"/>
        <v>-400000</v>
      </c>
      <c r="M110" s="2731"/>
      <c r="N110" s="2750"/>
      <c r="O110" s="329"/>
    </row>
    <row r="111" spans="1:15" ht="18" customHeight="1" outlineLevel="1">
      <c r="A111" s="2758">
        <v>2212</v>
      </c>
      <c r="B111" s="2754">
        <v>5139</v>
      </c>
      <c r="C111" s="2759" t="s">
        <v>2336</v>
      </c>
      <c r="D111" s="2760">
        <v>300000</v>
      </c>
      <c r="E111" s="2760">
        <v>300000</v>
      </c>
      <c r="F111" s="2760">
        <v>300000</v>
      </c>
      <c r="G111" s="2760">
        <v>300000</v>
      </c>
      <c r="H111" s="2760">
        <v>300000</v>
      </c>
      <c r="I111" s="2760">
        <v>300000</v>
      </c>
      <c r="J111" s="2760">
        <v>300000</v>
      </c>
      <c r="K111" s="2760">
        <f>+'[4]Silnice nákup materiálu'!$B$8</f>
        <v>270000</v>
      </c>
      <c r="L111" s="2762">
        <f t="shared" si="17"/>
        <v>-30000</v>
      </c>
      <c r="M111" s="2731"/>
      <c r="N111" s="2750"/>
      <c r="O111" s="329"/>
    </row>
    <row r="112" spans="1:15" ht="18" customHeight="1" outlineLevel="1">
      <c r="A112" s="2775">
        <v>2212</v>
      </c>
      <c r="B112" s="2776">
        <v>5139</v>
      </c>
      <c r="C112" s="2755"/>
      <c r="D112" s="2756"/>
      <c r="E112" s="2756"/>
      <c r="F112" s="2756"/>
      <c r="G112" s="2756"/>
      <c r="H112" s="2756"/>
      <c r="I112" s="2756"/>
      <c r="J112" s="2756"/>
      <c r="K112" s="2756"/>
      <c r="L112" s="2746">
        <f t="shared" si="17"/>
        <v>0</v>
      </c>
      <c r="M112" s="2731"/>
      <c r="N112" s="2750"/>
      <c r="O112" s="329"/>
    </row>
    <row r="113" spans="1:15" ht="18" customHeight="1" thickBot="1">
      <c r="A113" s="3278" t="s">
        <v>254</v>
      </c>
      <c r="B113" s="3279"/>
      <c r="C113" s="2747"/>
      <c r="D113" s="2748">
        <v>1950000</v>
      </c>
      <c r="E113" s="2748">
        <v>1950000</v>
      </c>
      <c r="F113" s="2748">
        <v>1950000</v>
      </c>
      <c r="G113" s="2748">
        <v>1950000</v>
      </c>
      <c r="H113" s="2748">
        <v>1950000</v>
      </c>
      <c r="I113" s="2748">
        <v>1950000</v>
      </c>
      <c r="J113" s="2748">
        <v>1950000</v>
      </c>
      <c r="K113" s="2748">
        <f>SUM(K107:K112)</f>
        <v>720000</v>
      </c>
      <c r="L113" s="2749">
        <f t="shared" si="17"/>
        <v>-1230000</v>
      </c>
      <c r="M113" s="285">
        <f>'Výdaje kapitol celkem'!CJ22</f>
        <v>720000</v>
      </c>
      <c r="N113" s="2750">
        <f>+M113-K113</f>
        <v>0</v>
      </c>
      <c r="O113" s="329"/>
    </row>
    <row r="114" spans="1:15" ht="18" hidden="1" customHeight="1" outlineLevel="1">
      <c r="A114" s="2737">
        <v>2310</v>
      </c>
      <c r="B114" s="2738">
        <v>5139</v>
      </c>
      <c r="C114" s="2739"/>
      <c r="D114" s="2740"/>
      <c r="E114" s="2740"/>
      <c r="F114" s="2740"/>
      <c r="G114" s="2740"/>
      <c r="H114" s="2740"/>
      <c r="I114" s="2740"/>
      <c r="J114" s="2740"/>
      <c r="K114" s="2740"/>
      <c r="L114" s="2741">
        <f t="shared" si="17"/>
        <v>0</v>
      </c>
      <c r="M114" s="2731"/>
      <c r="N114" s="2750"/>
      <c r="O114" s="329"/>
    </row>
    <row r="115" spans="1:15" ht="18" hidden="1" customHeight="1" outlineLevel="1">
      <c r="A115" s="2777">
        <v>2310</v>
      </c>
      <c r="B115" s="2778">
        <v>5139</v>
      </c>
      <c r="C115" s="2781"/>
      <c r="D115" s="2780"/>
      <c r="E115" s="2780"/>
      <c r="F115" s="2780"/>
      <c r="G115" s="2780"/>
      <c r="H115" s="2780"/>
      <c r="I115" s="2780"/>
      <c r="J115" s="2780"/>
      <c r="K115" s="2780"/>
      <c r="L115" s="2761">
        <f t="shared" si="17"/>
        <v>0</v>
      </c>
      <c r="M115" s="2731"/>
      <c r="N115" s="2750"/>
      <c r="O115" s="329"/>
    </row>
    <row r="116" spans="1:15" ht="18" customHeight="1" collapsed="1" thickBot="1">
      <c r="A116" s="3278" t="s">
        <v>211</v>
      </c>
      <c r="B116" s="3279"/>
      <c r="C116" s="2747"/>
      <c r="D116" s="2748">
        <v>0</v>
      </c>
      <c r="E116" s="2748">
        <v>0</v>
      </c>
      <c r="F116" s="2748">
        <v>0</v>
      </c>
      <c r="G116" s="2748">
        <v>0</v>
      </c>
      <c r="H116" s="2748">
        <v>0</v>
      </c>
      <c r="I116" s="2748">
        <v>0</v>
      </c>
      <c r="J116" s="2748">
        <v>0</v>
      </c>
      <c r="K116" s="2748">
        <f t="shared" ref="K116" si="29">SUM(K114:K115)</f>
        <v>0</v>
      </c>
      <c r="L116" s="2749">
        <f t="shared" si="17"/>
        <v>0</v>
      </c>
      <c r="M116" s="285">
        <f>'Výdaje kapitol celkem'!CN22</f>
        <v>0</v>
      </c>
      <c r="N116" s="2750">
        <f>+M116-K116</f>
        <v>0</v>
      </c>
      <c r="O116" s="329"/>
    </row>
    <row r="117" spans="1:15" ht="18" hidden="1" customHeight="1" outlineLevel="1">
      <c r="A117" s="2775">
        <v>3633</v>
      </c>
      <c r="B117" s="2776">
        <v>5139</v>
      </c>
      <c r="C117" s="2755"/>
      <c r="D117" s="2740"/>
      <c r="E117" s="2740"/>
      <c r="F117" s="2740"/>
      <c r="G117" s="2740"/>
      <c r="H117" s="2740"/>
      <c r="I117" s="2740"/>
      <c r="J117" s="2740"/>
      <c r="K117" s="2740"/>
      <c r="L117" s="2751">
        <f t="shared" si="17"/>
        <v>0</v>
      </c>
      <c r="M117" s="2731"/>
      <c r="N117" s="2750"/>
      <c r="O117" s="329"/>
    </row>
    <row r="118" spans="1:15" ht="18" hidden="1" customHeight="1" outlineLevel="1">
      <c r="A118" s="2777">
        <v>3633</v>
      </c>
      <c r="B118" s="2778">
        <v>5139</v>
      </c>
      <c r="C118" s="2781"/>
      <c r="D118" s="2760"/>
      <c r="E118" s="2760"/>
      <c r="F118" s="2760"/>
      <c r="G118" s="2760"/>
      <c r="H118" s="2760"/>
      <c r="I118" s="2760"/>
      <c r="J118" s="2760"/>
      <c r="K118" s="2760"/>
      <c r="L118" s="2751">
        <f t="shared" si="17"/>
        <v>0</v>
      </c>
      <c r="M118" s="2731"/>
      <c r="N118" s="2750"/>
      <c r="O118" s="329"/>
    </row>
    <row r="119" spans="1:15" ht="18" customHeight="1" collapsed="1" thickBot="1">
      <c r="A119" s="3278" t="s">
        <v>251</v>
      </c>
      <c r="B119" s="3279"/>
      <c r="C119" s="2747"/>
      <c r="D119" s="2748">
        <v>0</v>
      </c>
      <c r="E119" s="2748">
        <v>0</v>
      </c>
      <c r="F119" s="2748">
        <v>0</v>
      </c>
      <c r="G119" s="2748">
        <v>0</v>
      </c>
      <c r="H119" s="2748">
        <v>0</v>
      </c>
      <c r="I119" s="2748">
        <v>0</v>
      </c>
      <c r="J119" s="2748">
        <v>0</v>
      </c>
      <c r="K119" s="2748">
        <f t="shared" ref="K119" si="30">SUM(K117:K118)</f>
        <v>0</v>
      </c>
      <c r="L119" s="2749">
        <f t="shared" si="17"/>
        <v>0</v>
      </c>
      <c r="M119" s="285">
        <f>'Výdaje kapitol celkem'!CZ22</f>
        <v>0</v>
      </c>
      <c r="N119" s="2750">
        <f>+M119-K119</f>
        <v>0</v>
      </c>
      <c r="O119" s="329"/>
    </row>
    <row r="120" spans="1:15" ht="39.75" outlineLevel="1">
      <c r="A120" s="2737">
        <v>3749</v>
      </c>
      <c r="B120" s="2738">
        <v>5139</v>
      </c>
      <c r="C120" s="2739" t="s">
        <v>2337</v>
      </c>
      <c r="D120" s="2740">
        <v>150000</v>
      </c>
      <c r="E120" s="2740">
        <v>150000</v>
      </c>
      <c r="F120" s="2740">
        <v>150000</v>
      </c>
      <c r="G120" s="2740">
        <v>150000</v>
      </c>
      <c r="H120" s="2740">
        <v>150000</v>
      </c>
      <c r="I120" s="2740">
        <v>150000</v>
      </c>
      <c r="J120" s="2740">
        <v>150000</v>
      </c>
      <c r="K120" s="2740">
        <f>+'[5]Příroda 3749'!$B$6</f>
        <v>3000</v>
      </c>
      <c r="L120" s="2741">
        <f t="shared" si="17"/>
        <v>-147000</v>
      </c>
      <c r="M120" s="285">
        <f>'Výdaje kapitol celkem'!CZ23</f>
        <v>0</v>
      </c>
      <c r="N120" s="2750"/>
      <c r="O120" s="329"/>
    </row>
    <row r="121" spans="1:15" ht="13.5" outlineLevel="1">
      <c r="A121" s="2742">
        <v>3749</v>
      </c>
      <c r="B121" s="2743">
        <v>5139</v>
      </c>
      <c r="C121" s="2755" t="s">
        <v>2230</v>
      </c>
      <c r="D121" s="2756">
        <v>50000</v>
      </c>
      <c r="E121" s="2756">
        <v>50000</v>
      </c>
      <c r="F121" s="2756">
        <v>50000</v>
      </c>
      <c r="G121" s="2756">
        <v>50000</v>
      </c>
      <c r="H121" s="2756">
        <v>50000</v>
      </c>
      <c r="I121" s="2756">
        <v>50000</v>
      </c>
      <c r="J121" s="2756">
        <v>50000</v>
      </c>
      <c r="K121" s="2756">
        <f>+'[5]Příroda 3749'!$B$7</f>
        <v>10000</v>
      </c>
      <c r="L121" s="2746">
        <f t="shared" si="17"/>
        <v>-40000</v>
      </c>
      <c r="M121" s="285"/>
      <c r="N121" s="2750"/>
      <c r="O121" s="329"/>
    </row>
    <row r="122" spans="1:15" ht="18" customHeight="1" outlineLevel="1">
      <c r="A122" s="2777">
        <v>3749</v>
      </c>
      <c r="B122" s="2778">
        <v>5139</v>
      </c>
      <c r="C122" s="2781"/>
      <c r="D122" s="2780"/>
      <c r="E122" s="2780"/>
      <c r="F122" s="2780"/>
      <c r="G122" s="2780"/>
      <c r="H122" s="2780"/>
      <c r="I122" s="2780"/>
      <c r="J122" s="2780"/>
      <c r="K122" s="2780"/>
      <c r="L122" s="2761">
        <f t="shared" si="17"/>
        <v>0</v>
      </c>
      <c r="M122" s="285">
        <f>'Výdaje kapitol celkem'!CZ25</f>
        <v>0</v>
      </c>
      <c r="N122" s="2750"/>
      <c r="O122" s="329"/>
    </row>
    <row r="123" spans="1:15" ht="18" customHeight="1" thickBot="1">
      <c r="A123" s="3278" t="s">
        <v>624</v>
      </c>
      <c r="B123" s="3279"/>
      <c r="C123" s="2747"/>
      <c r="D123" s="2748">
        <v>200000</v>
      </c>
      <c r="E123" s="2748">
        <v>200000</v>
      </c>
      <c r="F123" s="2748">
        <v>200000</v>
      </c>
      <c r="G123" s="2748">
        <v>200000</v>
      </c>
      <c r="H123" s="2748">
        <v>200000</v>
      </c>
      <c r="I123" s="2748">
        <v>200000</v>
      </c>
      <c r="J123" s="2748">
        <v>200000</v>
      </c>
      <c r="K123" s="2748">
        <f t="shared" ref="K123" si="31">SUM(K120:K122)</f>
        <v>13000</v>
      </c>
      <c r="L123" s="2749">
        <f t="shared" si="17"/>
        <v>-187000</v>
      </c>
      <c r="M123" s="285">
        <f>'Výdaje kapitol celkem'!DN22</f>
        <v>13000</v>
      </c>
      <c r="N123" s="2750">
        <f>+M123-K123</f>
        <v>0</v>
      </c>
      <c r="O123" s="329"/>
    </row>
    <row r="124" spans="1:15" ht="18" hidden="1" customHeight="1" outlineLevel="1">
      <c r="A124" s="2775">
        <v>1036</v>
      </c>
      <c r="B124" s="2776">
        <v>5139</v>
      </c>
      <c r="C124" s="2755"/>
      <c r="D124" s="2756"/>
      <c r="E124" s="2756"/>
      <c r="F124" s="2756"/>
      <c r="G124" s="2756"/>
      <c r="H124" s="2756"/>
      <c r="I124" s="2756"/>
      <c r="J124" s="2756"/>
      <c r="K124" s="2756"/>
      <c r="L124" s="2746">
        <f t="shared" si="17"/>
        <v>0</v>
      </c>
      <c r="M124" s="2731"/>
      <c r="N124" s="2750"/>
      <c r="O124" s="329"/>
    </row>
    <row r="125" spans="1:15" ht="18" hidden="1" customHeight="1" outlineLevel="1">
      <c r="A125" s="2777">
        <v>1036</v>
      </c>
      <c r="B125" s="2778">
        <v>5139</v>
      </c>
      <c r="C125" s="2781"/>
      <c r="D125" s="2780"/>
      <c r="E125" s="2780"/>
      <c r="F125" s="2780"/>
      <c r="G125" s="2780"/>
      <c r="H125" s="2780"/>
      <c r="I125" s="2780"/>
      <c r="J125" s="2780"/>
      <c r="K125" s="2780"/>
      <c r="L125" s="2761">
        <f t="shared" si="17"/>
        <v>0</v>
      </c>
      <c r="M125" s="2731"/>
      <c r="N125" s="2750"/>
      <c r="O125" s="329"/>
    </row>
    <row r="126" spans="1:15" ht="18" hidden="1" customHeight="1" outlineLevel="1">
      <c r="A126" s="2777">
        <v>1036</v>
      </c>
      <c r="B126" s="2778">
        <v>5139</v>
      </c>
      <c r="C126" s="2759"/>
      <c r="D126" s="2780"/>
      <c r="E126" s="2780"/>
      <c r="F126" s="2780"/>
      <c r="G126" s="2780"/>
      <c r="H126" s="2780"/>
      <c r="I126" s="2780"/>
      <c r="J126" s="2780"/>
      <c r="K126" s="2780"/>
      <c r="L126" s="2762">
        <f t="shared" si="17"/>
        <v>0</v>
      </c>
      <c r="M126" s="2731"/>
      <c r="N126" s="2750"/>
      <c r="O126" s="329"/>
    </row>
    <row r="127" spans="1:15" ht="18" customHeight="1" collapsed="1" thickBot="1">
      <c r="A127" s="3278" t="s">
        <v>1200</v>
      </c>
      <c r="B127" s="3279"/>
      <c r="C127" s="2747"/>
      <c r="D127" s="2748">
        <v>0</v>
      </c>
      <c r="E127" s="2748">
        <v>0</v>
      </c>
      <c r="F127" s="2748">
        <v>0</v>
      </c>
      <c r="G127" s="2748">
        <v>0</v>
      </c>
      <c r="H127" s="2748">
        <v>0</v>
      </c>
      <c r="I127" s="2748">
        <v>0</v>
      </c>
      <c r="J127" s="2748">
        <v>0</v>
      </c>
      <c r="K127" s="2748">
        <f t="shared" ref="K127" si="32">SUM(K124:K126)</f>
        <v>0</v>
      </c>
      <c r="L127" s="2749">
        <f t="shared" si="17"/>
        <v>0</v>
      </c>
      <c r="M127" s="285">
        <f>'Výdaje kapitol celkem'!DC22</f>
        <v>0</v>
      </c>
      <c r="N127" s="2750">
        <f>+M127-K127</f>
        <v>0</v>
      </c>
      <c r="O127" s="329"/>
    </row>
    <row r="128" spans="1:15" ht="18" hidden="1" customHeight="1" outlineLevel="1">
      <c r="A128" s="2775" t="s">
        <v>219</v>
      </c>
      <c r="B128" s="2776">
        <v>5139</v>
      </c>
      <c r="C128" s="2755"/>
      <c r="D128" s="2756"/>
      <c r="E128" s="2756"/>
      <c r="F128" s="2756"/>
      <c r="G128" s="2756"/>
      <c r="H128" s="2756"/>
      <c r="I128" s="2756"/>
      <c r="J128" s="2756"/>
      <c r="K128" s="2756"/>
      <c r="L128" s="2746">
        <f t="shared" si="17"/>
        <v>0</v>
      </c>
      <c r="M128" s="2731"/>
      <c r="N128" s="2750"/>
      <c r="O128" s="329"/>
    </row>
    <row r="129" spans="1:15" ht="18" hidden="1" customHeight="1" outlineLevel="1">
      <c r="A129" s="2777" t="s">
        <v>219</v>
      </c>
      <c r="B129" s="2778">
        <v>5139</v>
      </c>
      <c r="C129" s="2781"/>
      <c r="D129" s="2780"/>
      <c r="E129" s="2780"/>
      <c r="F129" s="2780"/>
      <c r="G129" s="2780"/>
      <c r="H129" s="2780"/>
      <c r="I129" s="2780"/>
      <c r="J129" s="2780"/>
      <c r="K129" s="2780"/>
      <c r="L129" s="2761">
        <f t="shared" si="17"/>
        <v>0</v>
      </c>
      <c r="M129" s="2731"/>
      <c r="N129" s="2750"/>
      <c r="O129" s="329"/>
    </row>
    <row r="130" spans="1:15" ht="18" hidden="1" customHeight="1" outlineLevel="1">
      <c r="A130" s="2777" t="s">
        <v>219</v>
      </c>
      <c r="B130" s="2778">
        <v>5139</v>
      </c>
      <c r="C130" s="2759"/>
      <c r="D130" s="2780"/>
      <c r="E130" s="2780"/>
      <c r="F130" s="2780"/>
      <c r="G130" s="2780"/>
      <c r="H130" s="2780"/>
      <c r="I130" s="2780"/>
      <c r="J130" s="2780"/>
      <c r="K130" s="2780"/>
      <c r="L130" s="2762">
        <f t="shared" si="17"/>
        <v>0</v>
      </c>
      <c r="M130" s="2731"/>
      <c r="N130" s="2750"/>
      <c r="O130" s="329"/>
    </row>
    <row r="131" spans="1:15" ht="18" customHeight="1" collapsed="1" thickBot="1">
      <c r="A131" s="3278" t="s">
        <v>250</v>
      </c>
      <c r="B131" s="3279"/>
      <c r="C131" s="2747"/>
      <c r="D131" s="2748">
        <v>0</v>
      </c>
      <c r="E131" s="2748">
        <v>0</v>
      </c>
      <c r="F131" s="2748">
        <v>0</v>
      </c>
      <c r="G131" s="2748">
        <v>0</v>
      </c>
      <c r="H131" s="2748">
        <v>0</v>
      </c>
      <c r="I131" s="2748">
        <v>0</v>
      </c>
      <c r="J131" s="2748">
        <v>0</v>
      </c>
      <c r="K131" s="2748">
        <f t="shared" ref="K131" si="33">SUM(K128:K130)</f>
        <v>0</v>
      </c>
      <c r="L131" s="2749">
        <f t="shared" si="17"/>
        <v>0</v>
      </c>
      <c r="M131" s="285">
        <f>'Výdaje kapitol celkem'!CW22</f>
        <v>0</v>
      </c>
      <c r="N131" s="2750">
        <f>+M131-K131</f>
        <v>0</v>
      </c>
      <c r="O131" s="329"/>
    </row>
    <row r="132" spans="1:15" ht="18" hidden="1" customHeight="1" outlineLevel="1">
      <c r="A132" s="2775" t="s">
        <v>196</v>
      </c>
      <c r="B132" s="2776">
        <v>5139</v>
      </c>
      <c r="C132" s="2755"/>
      <c r="D132" s="2756"/>
      <c r="E132" s="2756"/>
      <c r="F132" s="2756"/>
      <c r="G132" s="2756"/>
      <c r="H132" s="2756"/>
      <c r="I132" s="2756"/>
      <c r="J132" s="2756"/>
      <c r="K132" s="2756"/>
      <c r="L132" s="2746">
        <f t="shared" si="17"/>
        <v>0</v>
      </c>
      <c r="M132" s="2731"/>
      <c r="N132" s="2750"/>
      <c r="O132" s="329"/>
    </row>
    <row r="133" spans="1:15" ht="18" hidden="1" customHeight="1" outlineLevel="1">
      <c r="A133" s="2777" t="s">
        <v>196</v>
      </c>
      <c r="B133" s="2778">
        <v>5139</v>
      </c>
      <c r="C133" s="2759"/>
      <c r="D133" s="2780"/>
      <c r="E133" s="2780"/>
      <c r="F133" s="2780"/>
      <c r="G133" s="2780"/>
      <c r="H133" s="2780"/>
      <c r="I133" s="2780"/>
      <c r="J133" s="2780"/>
      <c r="K133" s="2780"/>
      <c r="L133" s="2762">
        <f t="shared" si="17"/>
        <v>0</v>
      </c>
      <c r="M133" s="2731"/>
      <c r="N133" s="2750"/>
      <c r="O133" s="329"/>
    </row>
    <row r="134" spans="1:15" ht="18" customHeight="1" collapsed="1" thickBot="1">
      <c r="A134" s="3278" t="s">
        <v>685</v>
      </c>
      <c r="B134" s="3279"/>
      <c r="C134" s="2747"/>
      <c r="D134" s="2748">
        <v>0</v>
      </c>
      <c r="E134" s="2748">
        <v>0</v>
      </c>
      <c r="F134" s="2748">
        <v>0</v>
      </c>
      <c r="G134" s="2748">
        <v>0</v>
      </c>
      <c r="H134" s="2748">
        <v>0</v>
      </c>
      <c r="I134" s="2748">
        <v>0</v>
      </c>
      <c r="J134" s="2748">
        <v>0</v>
      </c>
      <c r="K134" s="2748">
        <f t="shared" ref="K134" si="34">SUM(K132:K133)</f>
        <v>0</v>
      </c>
      <c r="L134" s="2749">
        <f t="shared" ref="L134:L163" si="35">+K134-J134</f>
        <v>0</v>
      </c>
      <c r="M134" s="285">
        <f>'Výdaje kapitol celkem'!CT22</f>
        <v>0</v>
      </c>
      <c r="N134" s="2750">
        <f>+M134-K134</f>
        <v>0</v>
      </c>
      <c r="O134" s="329"/>
    </row>
    <row r="135" spans="1:15" ht="18" hidden="1" customHeight="1" outlineLevel="1">
      <c r="A135" s="2737" t="s">
        <v>500</v>
      </c>
      <c r="B135" s="2738">
        <v>5139</v>
      </c>
      <c r="C135" s="2739"/>
      <c r="D135" s="2740"/>
      <c r="E135" s="2740"/>
      <c r="F135" s="2740"/>
      <c r="G135" s="2740"/>
      <c r="H135" s="2740"/>
      <c r="I135" s="2740"/>
      <c r="J135" s="2740"/>
      <c r="K135" s="2740"/>
      <c r="L135" s="2741">
        <f t="shared" si="35"/>
        <v>0</v>
      </c>
      <c r="M135" s="2731"/>
      <c r="N135" s="2750"/>
      <c r="O135" s="329"/>
    </row>
    <row r="136" spans="1:15" ht="18" hidden="1" customHeight="1" outlineLevel="1">
      <c r="A136" s="2775" t="s">
        <v>500</v>
      </c>
      <c r="B136" s="2776">
        <v>5139</v>
      </c>
      <c r="C136" s="2755"/>
      <c r="D136" s="2782"/>
      <c r="E136" s="2782"/>
      <c r="F136" s="2782"/>
      <c r="G136" s="2782"/>
      <c r="H136" s="2782"/>
      <c r="I136" s="2782"/>
      <c r="J136" s="2782"/>
      <c r="K136" s="2782"/>
      <c r="L136" s="2751">
        <f t="shared" si="35"/>
        <v>0</v>
      </c>
      <c r="M136" s="2731"/>
      <c r="N136" s="2750"/>
      <c r="O136" s="329"/>
    </row>
    <row r="137" spans="1:15" ht="18" customHeight="1" collapsed="1" thickBot="1">
      <c r="A137" s="3278" t="s">
        <v>1201</v>
      </c>
      <c r="B137" s="3279"/>
      <c r="C137" s="2747"/>
      <c r="D137" s="2748">
        <v>0</v>
      </c>
      <c r="E137" s="2748">
        <v>0</v>
      </c>
      <c r="F137" s="2748">
        <v>0</v>
      </c>
      <c r="G137" s="2748">
        <v>0</v>
      </c>
      <c r="H137" s="2748">
        <v>0</v>
      </c>
      <c r="I137" s="2748">
        <v>0</v>
      </c>
      <c r="J137" s="2748">
        <v>0</v>
      </c>
      <c r="K137" s="2748">
        <f t="shared" ref="K137" si="36">SUM(K135:K136)</f>
        <v>0</v>
      </c>
      <c r="L137" s="2749">
        <f t="shared" si="35"/>
        <v>0</v>
      </c>
      <c r="M137" s="285">
        <f>'Výdaje kapitol celkem'!DD22</f>
        <v>0</v>
      </c>
      <c r="N137" s="2750">
        <f>+M137-K137</f>
        <v>0</v>
      </c>
      <c r="O137" s="329"/>
    </row>
    <row r="138" spans="1:15" ht="18" hidden="1" customHeight="1" outlineLevel="1">
      <c r="A138" s="2737" t="s">
        <v>181</v>
      </c>
      <c r="B138" s="2738">
        <v>5139</v>
      </c>
      <c r="C138" s="2739"/>
      <c r="D138" s="2740"/>
      <c r="E138" s="2740"/>
      <c r="F138" s="2740"/>
      <c r="G138" s="2740"/>
      <c r="H138" s="2740"/>
      <c r="I138" s="2740"/>
      <c r="J138" s="2740"/>
      <c r="K138" s="2740"/>
      <c r="L138" s="2741">
        <f t="shared" si="35"/>
        <v>0</v>
      </c>
      <c r="M138" s="2731"/>
      <c r="N138" s="2750"/>
      <c r="O138" s="329"/>
    </row>
    <row r="139" spans="1:15" ht="18" hidden="1" customHeight="1" outlineLevel="1">
      <c r="A139" s="2758" t="s">
        <v>181</v>
      </c>
      <c r="B139" s="2754">
        <v>5139</v>
      </c>
      <c r="C139" s="2759"/>
      <c r="D139" s="2763"/>
      <c r="E139" s="2763"/>
      <c r="F139" s="2763"/>
      <c r="G139" s="2763"/>
      <c r="H139" s="2763"/>
      <c r="I139" s="2763"/>
      <c r="J139" s="2763"/>
      <c r="K139" s="2763"/>
      <c r="L139" s="2762">
        <f t="shared" si="35"/>
        <v>0</v>
      </c>
      <c r="M139" s="2731"/>
      <c r="N139" s="2750"/>
      <c r="O139" s="329"/>
    </row>
    <row r="140" spans="1:15" ht="18" hidden="1" customHeight="1" outlineLevel="1">
      <c r="A140" s="2775" t="s">
        <v>181</v>
      </c>
      <c r="B140" s="2776">
        <v>5139</v>
      </c>
      <c r="C140" s="2755"/>
      <c r="D140" s="2782"/>
      <c r="E140" s="2782"/>
      <c r="F140" s="2782"/>
      <c r="G140" s="2782"/>
      <c r="H140" s="2782"/>
      <c r="I140" s="2782"/>
      <c r="J140" s="2782"/>
      <c r="K140" s="2782"/>
      <c r="L140" s="2751">
        <f t="shared" si="35"/>
        <v>0</v>
      </c>
      <c r="M140" s="2731"/>
      <c r="N140" s="2750"/>
      <c r="O140" s="329"/>
    </row>
    <row r="141" spans="1:15" ht="18" customHeight="1" collapsed="1" thickBot="1">
      <c r="A141" s="3278" t="s">
        <v>1202</v>
      </c>
      <c r="B141" s="3279"/>
      <c r="C141" s="2747"/>
      <c r="D141" s="2748">
        <v>0</v>
      </c>
      <c r="E141" s="2748">
        <v>0</v>
      </c>
      <c r="F141" s="2748">
        <v>0</v>
      </c>
      <c r="G141" s="2748">
        <v>0</v>
      </c>
      <c r="H141" s="2748">
        <v>0</v>
      </c>
      <c r="I141" s="2748">
        <v>0</v>
      </c>
      <c r="J141" s="2748">
        <v>0</v>
      </c>
      <c r="K141" s="2748">
        <f t="shared" ref="K141" si="37">SUM(K138:K140)</f>
        <v>0</v>
      </c>
      <c r="L141" s="2749">
        <f t="shared" si="35"/>
        <v>0</v>
      </c>
      <c r="M141" s="285">
        <f>'Výdaje kapitol celkem'!DG22</f>
        <v>0</v>
      </c>
      <c r="N141" s="2750">
        <f>+M141-K141</f>
        <v>0</v>
      </c>
      <c r="O141" s="329"/>
    </row>
    <row r="142" spans="1:15" ht="18" hidden="1" customHeight="1" outlineLevel="1">
      <c r="A142" s="2737">
        <v>3729</v>
      </c>
      <c r="B142" s="2738">
        <v>5139</v>
      </c>
      <c r="C142" s="2739"/>
      <c r="D142" s="2740"/>
      <c r="E142" s="2740"/>
      <c r="F142" s="2740"/>
      <c r="G142" s="2740"/>
      <c r="H142" s="2740"/>
      <c r="I142" s="2740"/>
      <c r="J142" s="2740"/>
      <c r="K142" s="2740"/>
      <c r="L142" s="2741">
        <f t="shared" si="35"/>
        <v>0</v>
      </c>
      <c r="M142" s="2731"/>
      <c r="N142" s="2750"/>
      <c r="O142" s="329"/>
    </row>
    <row r="143" spans="1:15" ht="18" hidden="1" customHeight="1" outlineLevel="1">
      <c r="A143" s="2775">
        <v>3729</v>
      </c>
      <c r="B143" s="2776">
        <v>5139</v>
      </c>
      <c r="C143" s="2755"/>
      <c r="D143" s="2782"/>
      <c r="E143" s="2782"/>
      <c r="F143" s="2782"/>
      <c r="G143" s="2782"/>
      <c r="H143" s="2782"/>
      <c r="I143" s="2782"/>
      <c r="J143" s="2782"/>
      <c r="K143" s="2782"/>
      <c r="L143" s="2751">
        <f t="shared" si="35"/>
        <v>0</v>
      </c>
      <c r="M143" s="2731"/>
      <c r="N143" s="2750"/>
      <c r="O143" s="329"/>
    </row>
    <row r="144" spans="1:15" ht="18" customHeight="1" collapsed="1" thickBot="1">
      <c r="A144" s="3278" t="s">
        <v>1203</v>
      </c>
      <c r="B144" s="3279"/>
      <c r="C144" s="2747"/>
      <c r="D144" s="2748">
        <v>0</v>
      </c>
      <c r="E144" s="2748">
        <v>0</v>
      </c>
      <c r="F144" s="2748">
        <v>0</v>
      </c>
      <c r="G144" s="2748">
        <v>0</v>
      </c>
      <c r="H144" s="2748">
        <v>0</v>
      </c>
      <c r="I144" s="2748">
        <v>0</v>
      </c>
      <c r="J144" s="2748">
        <v>0</v>
      </c>
      <c r="K144" s="2748">
        <f t="shared" ref="K144" si="38">SUM(K142:K143)</f>
        <v>0</v>
      </c>
      <c r="L144" s="2749">
        <f t="shared" si="35"/>
        <v>0</v>
      </c>
      <c r="M144" s="285">
        <f>'Výdaje kapitol celkem'!DJ22</f>
        <v>0</v>
      </c>
      <c r="N144" s="2750">
        <f>+M144-K144</f>
        <v>0</v>
      </c>
      <c r="O144" s="329"/>
    </row>
    <row r="145" spans="1:15" ht="18" hidden="1" customHeight="1" outlineLevel="1">
      <c r="A145" s="2737">
        <v>3744</v>
      </c>
      <c r="B145" s="2738">
        <v>5139</v>
      </c>
      <c r="C145" s="2739"/>
      <c r="D145" s="2740"/>
      <c r="E145" s="2740"/>
      <c r="F145" s="2740"/>
      <c r="G145" s="2740"/>
      <c r="H145" s="2740"/>
      <c r="I145" s="2740"/>
      <c r="J145" s="2740"/>
      <c r="K145" s="2740"/>
      <c r="L145" s="2741">
        <f t="shared" si="35"/>
        <v>0</v>
      </c>
      <c r="M145" s="2731"/>
      <c r="N145" s="2750"/>
      <c r="O145" s="329"/>
    </row>
    <row r="146" spans="1:15" ht="18" hidden="1" customHeight="1" outlineLevel="1">
      <c r="A146" s="2758">
        <v>3744</v>
      </c>
      <c r="B146" s="2754">
        <v>5139</v>
      </c>
      <c r="C146" s="2759"/>
      <c r="D146" s="2760"/>
      <c r="E146" s="2760"/>
      <c r="F146" s="2760"/>
      <c r="G146" s="2760"/>
      <c r="H146" s="2760"/>
      <c r="I146" s="2760"/>
      <c r="J146" s="2760"/>
      <c r="K146" s="2760"/>
      <c r="L146" s="2761">
        <f t="shared" si="35"/>
        <v>0</v>
      </c>
      <c r="M146" s="2731"/>
      <c r="N146" s="2750"/>
      <c r="O146" s="329"/>
    </row>
    <row r="147" spans="1:15" ht="18" hidden="1" customHeight="1" outlineLevel="1">
      <c r="A147" s="2775">
        <v>3744</v>
      </c>
      <c r="B147" s="2776">
        <v>5139</v>
      </c>
      <c r="C147" s="2755"/>
      <c r="D147" s="2782"/>
      <c r="E147" s="2782"/>
      <c r="F147" s="2782"/>
      <c r="G147" s="2782"/>
      <c r="H147" s="2782"/>
      <c r="I147" s="2782"/>
      <c r="J147" s="2782"/>
      <c r="K147" s="2782"/>
      <c r="L147" s="2751">
        <f t="shared" si="35"/>
        <v>0</v>
      </c>
      <c r="M147" s="2731"/>
      <c r="N147" s="2750"/>
      <c r="O147" s="329"/>
    </row>
    <row r="148" spans="1:15" ht="18" customHeight="1" collapsed="1" thickBot="1">
      <c r="A148" s="3278" t="s">
        <v>1187</v>
      </c>
      <c r="B148" s="3279"/>
      <c r="C148" s="2747"/>
      <c r="D148" s="2748">
        <v>0</v>
      </c>
      <c r="E148" s="2748">
        <v>0</v>
      </c>
      <c r="F148" s="2748">
        <v>0</v>
      </c>
      <c r="G148" s="2748">
        <v>0</v>
      </c>
      <c r="H148" s="2748">
        <v>0</v>
      </c>
      <c r="I148" s="2748">
        <v>0</v>
      </c>
      <c r="J148" s="2748">
        <v>0</v>
      </c>
      <c r="K148" s="2748">
        <f t="shared" ref="K148" si="39">SUM(K145:K147)</f>
        <v>0</v>
      </c>
      <c r="L148" s="2749">
        <f t="shared" si="35"/>
        <v>0</v>
      </c>
      <c r="M148" s="285">
        <f>'Výdaje kapitol celkem'!DM22</f>
        <v>0</v>
      </c>
      <c r="N148" s="2750">
        <f>+M148-K148</f>
        <v>0</v>
      </c>
      <c r="O148" s="329"/>
    </row>
    <row r="149" spans="1:15" ht="18" hidden="1" customHeight="1" outlineLevel="1">
      <c r="A149" s="2737" t="s">
        <v>296</v>
      </c>
      <c r="B149" s="2738">
        <v>5139</v>
      </c>
      <c r="C149" s="2739"/>
      <c r="D149" s="2740"/>
      <c r="E149" s="2740"/>
      <c r="F149" s="2740"/>
      <c r="G149" s="2740"/>
      <c r="H149" s="2740"/>
      <c r="I149" s="2740"/>
      <c r="J149" s="2740"/>
      <c r="K149" s="2740"/>
      <c r="L149" s="2741">
        <f t="shared" si="35"/>
        <v>0</v>
      </c>
      <c r="M149" s="2731"/>
      <c r="N149" s="2750"/>
      <c r="O149" s="329"/>
    </row>
    <row r="150" spans="1:15" ht="18" hidden="1" customHeight="1" outlineLevel="1">
      <c r="A150" s="2775" t="s">
        <v>296</v>
      </c>
      <c r="B150" s="2776">
        <v>5139</v>
      </c>
      <c r="C150" s="2744"/>
      <c r="D150" s="2756"/>
      <c r="E150" s="2756"/>
      <c r="F150" s="2756"/>
      <c r="G150" s="2756"/>
      <c r="H150" s="2756"/>
      <c r="I150" s="2756"/>
      <c r="J150" s="2756"/>
      <c r="K150" s="2756"/>
      <c r="L150" s="2751">
        <f t="shared" si="35"/>
        <v>0</v>
      </c>
      <c r="M150" s="2731"/>
      <c r="N150" s="2750"/>
      <c r="O150" s="329"/>
    </row>
    <row r="151" spans="1:15" ht="18" customHeight="1" collapsed="1" thickBot="1">
      <c r="A151" s="3278" t="s">
        <v>1188</v>
      </c>
      <c r="B151" s="3279"/>
      <c r="C151" s="2747"/>
      <c r="D151" s="2748">
        <v>0</v>
      </c>
      <c r="E151" s="2748">
        <v>0</v>
      </c>
      <c r="F151" s="2748">
        <v>0</v>
      </c>
      <c r="G151" s="2748">
        <v>0</v>
      </c>
      <c r="H151" s="2748">
        <v>0</v>
      </c>
      <c r="I151" s="2748">
        <v>0</v>
      </c>
      <c r="J151" s="2748">
        <v>0</v>
      </c>
      <c r="K151" s="2748">
        <f t="shared" ref="K151" si="40">SUM(K149:K150)</f>
        <v>0</v>
      </c>
      <c r="L151" s="2749">
        <f t="shared" si="35"/>
        <v>0</v>
      </c>
      <c r="M151" s="285">
        <f>'Výdaje kapitol celkem'!DR22</f>
        <v>0</v>
      </c>
      <c r="N151" s="2750">
        <f>+M151-K151</f>
        <v>0</v>
      </c>
      <c r="O151" s="329"/>
    </row>
    <row r="152" spans="1:15" ht="18" hidden="1" customHeight="1" outlineLevel="1">
      <c r="A152" s="2737" t="s">
        <v>182</v>
      </c>
      <c r="B152" s="2738">
        <v>5139</v>
      </c>
      <c r="C152" s="2739"/>
      <c r="D152" s="2740"/>
      <c r="E152" s="2740"/>
      <c r="F152" s="2740"/>
      <c r="G152" s="2740"/>
      <c r="H152" s="2740"/>
      <c r="I152" s="2740"/>
      <c r="J152" s="2740"/>
      <c r="K152" s="2740"/>
      <c r="L152" s="2741">
        <f t="shared" si="35"/>
        <v>0</v>
      </c>
      <c r="M152" s="2731"/>
      <c r="N152" s="2750"/>
      <c r="O152" s="329"/>
    </row>
    <row r="153" spans="1:15" ht="18" hidden="1" customHeight="1" outlineLevel="1">
      <c r="A153" s="2775" t="s">
        <v>182</v>
      </c>
      <c r="B153" s="2776">
        <v>5139</v>
      </c>
      <c r="C153" s="2755"/>
      <c r="D153" s="2782"/>
      <c r="E153" s="2782"/>
      <c r="F153" s="2782"/>
      <c r="G153" s="2782"/>
      <c r="H153" s="2782"/>
      <c r="I153" s="2782"/>
      <c r="J153" s="2782"/>
      <c r="K153" s="2782"/>
      <c r="L153" s="2751">
        <f t="shared" si="35"/>
        <v>0</v>
      </c>
      <c r="M153" s="2731"/>
      <c r="N153" s="2750"/>
      <c r="O153" s="329"/>
    </row>
    <row r="154" spans="1:15" ht="18" customHeight="1" collapsed="1" thickBot="1">
      <c r="A154" s="3278" t="s">
        <v>1204</v>
      </c>
      <c r="B154" s="3279"/>
      <c r="C154" s="2747"/>
      <c r="D154" s="2748">
        <v>0</v>
      </c>
      <c r="E154" s="2748">
        <v>0</v>
      </c>
      <c r="F154" s="2748">
        <v>0</v>
      </c>
      <c r="G154" s="2748">
        <v>0</v>
      </c>
      <c r="H154" s="2748">
        <v>0</v>
      </c>
      <c r="I154" s="2748">
        <v>0</v>
      </c>
      <c r="J154" s="2748">
        <v>0</v>
      </c>
      <c r="K154" s="2748">
        <f t="shared" ref="K154" si="41">SUM(K152:K153)</f>
        <v>0</v>
      </c>
      <c r="L154" s="2749">
        <f t="shared" si="35"/>
        <v>0</v>
      </c>
      <c r="M154" s="285">
        <f>'Výdaje kapitol celkem'!DY22</f>
        <v>0</v>
      </c>
      <c r="N154" s="2750">
        <f>+M154-K154</f>
        <v>0</v>
      </c>
      <c r="O154" s="329"/>
    </row>
    <row r="155" spans="1:15" ht="18" customHeight="1" outlineLevel="1">
      <c r="A155" s="2737">
        <v>3114</v>
      </c>
      <c r="B155" s="2738">
        <v>5139</v>
      </c>
      <c r="C155" s="2739" t="s">
        <v>2228</v>
      </c>
      <c r="D155" s="2740">
        <v>30000</v>
      </c>
      <c r="E155" s="2740">
        <v>30000</v>
      </c>
      <c r="F155" s="2740">
        <v>30000</v>
      </c>
      <c r="G155" s="2740">
        <v>30000</v>
      </c>
      <c r="H155" s="2740">
        <v>30000</v>
      </c>
      <c r="I155" s="2740">
        <v>30000</v>
      </c>
      <c r="J155" s="2740">
        <v>30000</v>
      </c>
      <c r="K155" s="2740">
        <f>+[2]č.p.65!$B$12</f>
        <v>30000</v>
      </c>
      <c r="L155" s="2741">
        <f t="shared" si="35"/>
        <v>0</v>
      </c>
      <c r="M155" s="2731"/>
      <c r="N155" s="2750"/>
      <c r="O155" s="329"/>
    </row>
    <row r="156" spans="1:15" ht="18" customHeight="1" outlineLevel="1">
      <c r="A156" s="2758">
        <v>3114</v>
      </c>
      <c r="B156" s="2754">
        <v>5139</v>
      </c>
      <c r="C156" s="2759"/>
      <c r="D156" s="2760">
        <v>0</v>
      </c>
      <c r="E156" s="2760">
        <v>0</v>
      </c>
      <c r="F156" s="2760">
        <v>0</v>
      </c>
      <c r="G156" s="2760">
        <v>0</v>
      </c>
      <c r="H156" s="2760">
        <v>0</v>
      </c>
      <c r="I156" s="2760">
        <v>0</v>
      </c>
      <c r="J156" s="2760">
        <v>0</v>
      </c>
      <c r="K156" s="2760">
        <f>+[2]č.p.65!$B$13</f>
        <v>0</v>
      </c>
      <c r="L156" s="2762">
        <f t="shared" si="35"/>
        <v>0</v>
      </c>
      <c r="M156" s="2731"/>
      <c r="N156" s="2750"/>
      <c r="O156" s="329"/>
    </row>
    <row r="157" spans="1:15" ht="18" customHeight="1" outlineLevel="1">
      <c r="A157" s="2775">
        <v>3114</v>
      </c>
      <c r="B157" s="2776">
        <v>5139</v>
      </c>
      <c r="C157" s="2755"/>
      <c r="D157" s="2756"/>
      <c r="E157" s="2756"/>
      <c r="F157" s="2756"/>
      <c r="G157" s="2756"/>
      <c r="H157" s="2756"/>
      <c r="I157" s="2756"/>
      <c r="J157" s="2756"/>
      <c r="K157" s="2756"/>
      <c r="L157" s="2762">
        <f t="shared" si="35"/>
        <v>0</v>
      </c>
      <c r="M157" s="2731"/>
      <c r="N157" s="2750"/>
      <c r="O157" s="329"/>
    </row>
    <row r="158" spans="1:15" ht="18" customHeight="1" thickBot="1">
      <c r="A158" s="3278" t="s">
        <v>212</v>
      </c>
      <c r="B158" s="3279"/>
      <c r="C158" s="2747"/>
      <c r="D158" s="2748">
        <v>30000</v>
      </c>
      <c r="E158" s="2748">
        <v>30000</v>
      </c>
      <c r="F158" s="2748">
        <v>30000</v>
      </c>
      <c r="G158" s="2748">
        <v>30000</v>
      </c>
      <c r="H158" s="2748">
        <v>30000</v>
      </c>
      <c r="I158" s="2748">
        <v>30000</v>
      </c>
      <c r="J158" s="2748">
        <v>30000</v>
      </c>
      <c r="K158" s="2748">
        <f t="shared" ref="K158" si="42">SUM(K155:K157)</f>
        <v>30000</v>
      </c>
      <c r="L158" s="2749">
        <f t="shared" si="35"/>
        <v>0</v>
      </c>
      <c r="M158" s="285">
        <f>'Výdaje kapitol celkem'!BM22</f>
        <v>30000</v>
      </c>
      <c r="N158" s="2750">
        <f>+M158-K158</f>
        <v>0</v>
      </c>
      <c r="O158" s="329"/>
    </row>
    <row r="159" spans="1:15" ht="18" hidden="1" customHeight="1" outlineLevel="1">
      <c r="A159" s="2737" t="s">
        <v>198</v>
      </c>
      <c r="B159" s="2738">
        <v>5139</v>
      </c>
      <c r="C159" s="2739"/>
      <c r="D159" s="2740"/>
      <c r="E159" s="2740"/>
      <c r="F159" s="2740"/>
      <c r="G159" s="2740"/>
      <c r="H159" s="2740"/>
      <c r="I159" s="2740"/>
      <c r="J159" s="2740"/>
      <c r="K159" s="2740"/>
      <c r="L159" s="2741">
        <f t="shared" si="35"/>
        <v>0</v>
      </c>
      <c r="M159" s="2731"/>
      <c r="N159" s="2750"/>
      <c r="O159" s="329"/>
    </row>
    <row r="160" spans="1:15" ht="18" hidden="1" customHeight="1" outlineLevel="1">
      <c r="A160" s="2758" t="s">
        <v>198</v>
      </c>
      <c r="B160" s="2754">
        <v>5139</v>
      </c>
      <c r="C160" s="2759"/>
      <c r="D160" s="2760"/>
      <c r="E160" s="2760"/>
      <c r="F160" s="2760"/>
      <c r="G160" s="2760"/>
      <c r="H160" s="2760"/>
      <c r="I160" s="2760"/>
      <c r="J160" s="2760"/>
      <c r="K160" s="2760"/>
      <c r="L160" s="2761">
        <f t="shared" si="35"/>
        <v>0</v>
      </c>
      <c r="M160" s="2731"/>
      <c r="N160" s="2750"/>
      <c r="O160" s="329"/>
    </row>
    <row r="161" spans="1:15" ht="18" hidden="1" customHeight="1" outlineLevel="1">
      <c r="A161" s="2742" t="s">
        <v>198</v>
      </c>
      <c r="B161" s="2743">
        <v>5139</v>
      </c>
      <c r="C161" s="2744"/>
      <c r="D161" s="2752"/>
      <c r="E161" s="2752"/>
      <c r="F161" s="2752"/>
      <c r="G161" s="2752"/>
      <c r="H161" s="2752"/>
      <c r="I161" s="2752"/>
      <c r="J161" s="2752"/>
      <c r="K161" s="2752"/>
      <c r="L161" s="2751">
        <f t="shared" si="35"/>
        <v>0</v>
      </c>
      <c r="M161" s="2731"/>
      <c r="N161" s="2750"/>
      <c r="O161" s="329"/>
    </row>
    <row r="162" spans="1:15" ht="18" customHeight="1" collapsed="1" thickBot="1">
      <c r="A162" s="3278" t="s">
        <v>1205</v>
      </c>
      <c r="B162" s="3279"/>
      <c r="C162" s="2747"/>
      <c r="D162" s="2748">
        <v>0</v>
      </c>
      <c r="E162" s="2748">
        <v>0</v>
      </c>
      <c r="F162" s="2748">
        <v>0</v>
      </c>
      <c r="G162" s="2748">
        <v>0</v>
      </c>
      <c r="H162" s="2748">
        <v>0</v>
      </c>
      <c r="I162" s="2748">
        <v>0</v>
      </c>
      <c r="J162" s="2748">
        <v>0</v>
      </c>
      <c r="K162" s="2748">
        <f t="shared" ref="K162" si="43">SUM(K159:K161)</f>
        <v>0</v>
      </c>
      <c r="L162" s="2749">
        <f t="shared" si="35"/>
        <v>0</v>
      </c>
      <c r="M162" s="285">
        <f>'Výdaje kapitol celkem'!CQ22</f>
        <v>0</v>
      </c>
      <c r="N162" s="2750">
        <f>+M162-K162</f>
        <v>0</v>
      </c>
      <c r="O162" s="329"/>
    </row>
    <row r="163" spans="1:15" s="281" customFormat="1" ht="16.5" thickBot="1">
      <c r="A163" s="3282" t="s">
        <v>731</v>
      </c>
      <c r="B163" s="3283"/>
      <c r="C163" s="3283"/>
      <c r="D163" s="2764">
        <v>3866000</v>
      </c>
      <c r="E163" s="2764">
        <v>3866000</v>
      </c>
      <c r="F163" s="2764">
        <v>3866000</v>
      </c>
      <c r="G163" s="2764">
        <v>3866000</v>
      </c>
      <c r="H163" s="2764">
        <v>3866000</v>
      </c>
      <c r="I163" s="2764">
        <v>3866000</v>
      </c>
      <c r="J163" s="2764">
        <v>3846000</v>
      </c>
      <c r="K163" s="2764">
        <f>+K7+K10+K18+K21+K24+K27+K30+K35+K37+K41+K44+K48+K54+K60+K63+K72+K76+K79+K84+K87+K90+K93+K97+K100+K103+K106+K113+K116+K119+K123+K127+K131+K134+K137+K141+K144+K148+K151+K154+K158+K162+K14+K68+K51</f>
        <v>2006000</v>
      </c>
      <c r="L163" s="2765">
        <f t="shared" si="35"/>
        <v>-1840000</v>
      </c>
      <c r="M163" s="2731"/>
      <c r="N163" s="283"/>
      <c r="O163" s="329"/>
    </row>
    <row r="164" spans="1:15">
      <c r="A164" s="109"/>
      <c r="B164" s="109"/>
      <c r="C164" s="109"/>
      <c r="D164" s="190">
        <v>3866000</v>
      </c>
      <c r="E164" s="190">
        <v>3866000</v>
      </c>
      <c r="F164" s="190">
        <v>3866000</v>
      </c>
      <c r="G164" s="190">
        <v>3866000</v>
      </c>
      <c r="H164" s="190">
        <v>3866000</v>
      </c>
      <c r="I164" s="190">
        <v>3866000</v>
      </c>
      <c r="J164" s="190">
        <v>3846000</v>
      </c>
      <c r="K164" s="190">
        <f>'Výdaje kapitol celkem'!K22</f>
        <v>2006000</v>
      </c>
      <c r="L164" s="284"/>
      <c r="M164" s="2731"/>
      <c r="N164" s="1908"/>
    </row>
    <row r="165" spans="1:15" s="323" customFormat="1">
      <c r="A165" s="180"/>
      <c r="B165" s="180"/>
      <c r="C165" s="180" t="s">
        <v>217</v>
      </c>
      <c r="D165" s="180">
        <v>0</v>
      </c>
      <c r="E165" s="180">
        <v>0</v>
      </c>
      <c r="F165" s="180">
        <v>0</v>
      </c>
      <c r="G165" s="180">
        <v>0</v>
      </c>
      <c r="H165" s="180">
        <v>0</v>
      </c>
      <c r="I165" s="180">
        <v>0</v>
      </c>
      <c r="J165" s="180">
        <v>0</v>
      </c>
      <c r="K165" s="284">
        <f>+K164-K163</f>
        <v>0</v>
      </c>
      <c r="L165" s="284"/>
      <c r="M165" s="2731"/>
      <c r="N165" s="1908"/>
    </row>
    <row r="166" spans="1:15">
      <c r="A166" s="2713" t="s">
        <v>545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90"/>
      <c r="L166" s="284"/>
      <c r="M166" s="2731"/>
      <c r="N166" s="1908"/>
    </row>
  </sheetData>
  <sheetProtection algorithmName="SHA-512" hashValue="oSY1p8EqphZAiKkdW29NmNQQxNa3HuZXBTBkpfkIv3sWGSSqXLIgaNqEinaG2hfmjUv7Hm00scLGDt/B5A89/A==" saltValue="LZoj0/vyqBTmrUrlV1Lk7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  <mergeCell ref="A54:B54"/>
    <mergeCell ref="A48:B48"/>
    <mergeCell ref="A44:B44"/>
    <mergeCell ref="A41:B41"/>
    <mergeCell ref="A37:B37"/>
    <mergeCell ref="A51:B51"/>
    <mergeCell ref="A76:B76"/>
    <mergeCell ref="A72:B72"/>
    <mergeCell ref="A68:B68"/>
    <mergeCell ref="A63:B63"/>
    <mergeCell ref="A60:B60"/>
    <mergeCell ref="A93:B93"/>
    <mergeCell ref="A90:B90"/>
    <mergeCell ref="A87:B87"/>
    <mergeCell ref="A84:B84"/>
    <mergeCell ref="A79:B79"/>
    <mergeCell ref="A113:B113"/>
    <mergeCell ref="A106:B106"/>
    <mergeCell ref="A103:B103"/>
    <mergeCell ref="A100:B100"/>
    <mergeCell ref="A97:B97"/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9"/>
  <sheetViews>
    <sheetView topLeftCell="A25" workbookViewId="0">
      <selection activeCell="K34" sqref="K34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7" style="316" hidden="1" customWidth="1"/>
    <col min="5" max="8" width="12.265625" style="316" hidden="1" customWidth="1"/>
    <col min="9" max="10" width="12.265625" style="316" customWidth="1"/>
    <col min="11" max="11" width="12.265625" style="318" bestFit="1" customWidth="1"/>
    <col min="12" max="12" width="13.59765625" style="319" bestFit="1" customWidth="1"/>
    <col min="13" max="13" width="12.86328125" style="2768" bestFit="1" customWidth="1"/>
    <col min="14" max="14" width="11.265625" style="2769" bestFit="1" customWidth="1"/>
    <col min="15" max="16384" width="9" style="316"/>
  </cols>
  <sheetData>
    <row r="1" spans="1:15" s="2725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20.25" customHeight="1">
      <c r="A2" s="3280" t="s">
        <v>1158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34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/>
      <c r="N4" s="1908" t="s">
        <v>707</v>
      </c>
    </row>
    <row r="5" spans="1:15" ht="15.75" customHeight="1" outlineLevel="1">
      <c r="A5" s="2737">
        <v>6171</v>
      </c>
      <c r="B5" s="2738">
        <v>5153</v>
      </c>
      <c r="C5" s="2739"/>
      <c r="D5" s="2740">
        <v>0</v>
      </c>
      <c r="E5" s="2740">
        <v>0</v>
      </c>
      <c r="F5" s="2740">
        <v>0</v>
      </c>
      <c r="G5" s="2740">
        <v>0</v>
      </c>
      <c r="H5" s="2740">
        <v>0</v>
      </c>
      <c r="I5" s="2740">
        <v>0</v>
      </c>
      <c r="J5" s="2740">
        <v>0</v>
      </c>
      <c r="K5" s="2740">
        <v>0</v>
      </c>
      <c r="L5" s="2741">
        <f>+K5-J5</f>
        <v>0</v>
      </c>
      <c r="M5" s="2731"/>
      <c r="N5" s="1908"/>
    </row>
    <row r="6" spans="1:15" ht="15.75" customHeight="1" outlineLevel="1">
      <c r="A6" s="2742">
        <v>6171</v>
      </c>
      <c r="B6" s="2743">
        <v>5153</v>
      </c>
      <c r="C6" s="2744"/>
      <c r="D6" s="2745">
        <v>682500</v>
      </c>
      <c r="E6" s="2745">
        <v>682500</v>
      </c>
      <c r="F6" s="2745">
        <v>682500</v>
      </c>
      <c r="G6" s="2745">
        <v>682500</v>
      </c>
      <c r="H6" s="2745">
        <v>682500</v>
      </c>
      <c r="I6" s="2745">
        <v>682500</v>
      </c>
      <c r="J6" s="2745">
        <v>682500</v>
      </c>
      <c r="K6" s="2745">
        <f>682500-197500</f>
        <v>485000</v>
      </c>
      <c r="L6" s="2746">
        <f t="shared" ref="L6:L36" si="0">+K6-J6</f>
        <v>-197500</v>
      </c>
      <c r="M6" s="2731"/>
      <c r="N6" s="1908"/>
    </row>
    <row r="7" spans="1:15" ht="15.75" customHeight="1" outlineLevel="1">
      <c r="A7" s="2742">
        <v>6171</v>
      </c>
      <c r="B7" s="2743">
        <v>5153</v>
      </c>
      <c r="C7" s="2744"/>
      <c r="D7" s="2745"/>
      <c r="E7" s="2745"/>
      <c r="F7" s="2745"/>
      <c r="G7" s="2745"/>
      <c r="H7" s="2745"/>
      <c r="I7" s="2745"/>
      <c r="J7" s="2745"/>
      <c r="K7" s="2745"/>
      <c r="L7" s="2746">
        <f t="shared" si="0"/>
        <v>0</v>
      </c>
      <c r="M7" s="2731"/>
      <c r="N7" s="1908"/>
    </row>
    <row r="8" spans="1:15" s="432" customFormat="1" ht="16.5" customHeight="1" thickBot="1">
      <c r="A8" s="3278" t="s">
        <v>213</v>
      </c>
      <c r="B8" s="3279"/>
      <c r="C8" s="2747"/>
      <c r="D8" s="2748">
        <v>682500</v>
      </c>
      <c r="E8" s="2748">
        <v>682500</v>
      </c>
      <c r="F8" s="2748">
        <v>682500</v>
      </c>
      <c r="G8" s="2748">
        <v>682500</v>
      </c>
      <c r="H8" s="2748">
        <v>682500</v>
      </c>
      <c r="I8" s="2748">
        <v>682500</v>
      </c>
      <c r="J8" s="2748">
        <v>682500</v>
      </c>
      <c r="K8" s="2748">
        <f>SUM(K5:K7)</f>
        <v>485000</v>
      </c>
      <c r="L8" s="2749">
        <f t="shared" si="0"/>
        <v>-197500</v>
      </c>
      <c r="M8" s="285">
        <f>'Výdaje kapitol celkem'!T24</f>
        <v>485000</v>
      </c>
      <c r="N8" s="2750">
        <f>+M8-K8</f>
        <v>0</v>
      </c>
      <c r="O8" s="329"/>
    </row>
    <row r="9" spans="1:15" ht="15.75" customHeight="1" outlineLevel="1">
      <c r="A9" s="2737">
        <v>3314</v>
      </c>
      <c r="B9" s="2738">
        <v>5153</v>
      </c>
      <c r="C9" s="2739"/>
      <c r="D9" s="2740">
        <v>9750</v>
      </c>
      <c r="E9" s="2740">
        <v>9750</v>
      </c>
      <c r="F9" s="2740">
        <v>9750</v>
      </c>
      <c r="G9" s="2740">
        <v>9750</v>
      </c>
      <c r="H9" s="2740">
        <v>9750</v>
      </c>
      <c r="I9" s="2740">
        <v>9750</v>
      </c>
      <c r="J9" s="2740">
        <v>9750</v>
      </c>
      <c r="K9" s="2740">
        <f>9750-7750</f>
        <v>2000</v>
      </c>
      <c r="L9" s="2741">
        <f t="shared" si="0"/>
        <v>-7750</v>
      </c>
      <c r="M9" s="2731"/>
      <c r="N9" s="2750"/>
      <c r="O9" s="329"/>
    </row>
    <row r="10" spans="1:15" ht="15.75" customHeight="1" outlineLevel="1">
      <c r="A10" s="2742">
        <v>3314</v>
      </c>
      <c r="B10" s="2743">
        <v>5153</v>
      </c>
      <c r="C10" s="2744"/>
      <c r="D10" s="2745">
        <v>0</v>
      </c>
      <c r="E10" s="2745">
        <v>0</v>
      </c>
      <c r="F10" s="2745">
        <v>0</v>
      </c>
      <c r="G10" s="2745">
        <v>0</v>
      </c>
      <c r="H10" s="2745">
        <v>0</v>
      </c>
      <c r="I10" s="2745">
        <v>0</v>
      </c>
      <c r="J10" s="2745">
        <v>0</v>
      </c>
      <c r="K10" s="2745">
        <v>0</v>
      </c>
      <c r="L10" s="2751">
        <f t="shared" si="0"/>
        <v>0</v>
      </c>
      <c r="M10" s="2731"/>
      <c r="N10" s="2750"/>
      <c r="O10" s="329"/>
    </row>
    <row r="11" spans="1:15" s="432" customFormat="1" ht="16.5" customHeight="1" thickBot="1">
      <c r="A11" s="3278" t="s">
        <v>1170</v>
      </c>
      <c r="B11" s="3279"/>
      <c r="C11" s="2747"/>
      <c r="D11" s="2748">
        <v>9750</v>
      </c>
      <c r="E11" s="2748">
        <v>9750</v>
      </c>
      <c r="F11" s="2748">
        <v>9750</v>
      </c>
      <c r="G11" s="2748">
        <v>9750</v>
      </c>
      <c r="H11" s="2748">
        <v>9750</v>
      </c>
      <c r="I11" s="2748">
        <v>9750</v>
      </c>
      <c r="J11" s="2748">
        <v>9750</v>
      </c>
      <c r="K11" s="2748">
        <f>SUM(K9:K10)</f>
        <v>2000</v>
      </c>
      <c r="L11" s="2749">
        <f t="shared" si="0"/>
        <v>-7750</v>
      </c>
      <c r="M11" s="285">
        <f>'Výdaje kapitol celkem'!AF24</f>
        <v>2000</v>
      </c>
      <c r="N11" s="2750">
        <f>+M11-K11</f>
        <v>0</v>
      </c>
      <c r="O11" s="329"/>
    </row>
    <row r="12" spans="1:15" ht="15.75" customHeight="1" outlineLevel="1">
      <c r="A12" s="2737">
        <v>3612</v>
      </c>
      <c r="B12" s="2738">
        <v>5153</v>
      </c>
      <c r="C12" s="2739"/>
      <c r="D12" s="2740">
        <v>234000</v>
      </c>
      <c r="E12" s="2740">
        <v>234000</v>
      </c>
      <c r="F12" s="2740">
        <v>234000</v>
      </c>
      <c r="G12" s="2740">
        <v>234000</v>
      </c>
      <c r="H12" s="2740">
        <v>234000</v>
      </c>
      <c r="I12" s="2740">
        <v>234000</v>
      </c>
      <c r="J12" s="2740">
        <v>234000</v>
      </c>
      <c r="K12" s="2740">
        <v>234000</v>
      </c>
      <c r="L12" s="2741">
        <f t="shared" si="0"/>
        <v>0</v>
      </c>
      <c r="M12" s="2731"/>
      <c r="N12" s="2750"/>
      <c r="O12" s="329"/>
    </row>
    <row r="13" spans="1:15" ht="15.75" customHeight="1" outlineLevel="1">
      <c r="A13" s="2742">
        <v>3612</v>
      </c>
      <c r="B13" s="2743">
        <v>5153</v>
      </c>
      <c r="C13" s="2744"/>
      <c r="D13" s="2745">
        <v>0</v>
      </c>
      <c r="E13" s="2745">
        <v>0</v>
      </c>
      <c r="F13" s="2745">
        <v>0</v>
      </c>
      <c r="G13" s="2745">
        <v>0</v>
      </c>
      <c r="H13" s="2745">
        <v>0</v>
      </c>
      <c r="I13" s="2745">
        <v>0</v>
      </c>
      <c r="J13" s="2745">
        <v>0</v>
      </c>
      <c r="K13" s="2745">
        <v>0</v>
      </c>
      <c r="L13" s="2746">
        <f t="shared" si="0"/>
        <v>0</v>
      </c>
      <c r="M13" s="2731"/>
      <c r="N13" s="2750"/>
      <c r="O13" s="329"/>
    </row>
    <row r="14" spans="1:15" s="432" customFormat="1" ht="16.5" customHeight="1" thickBot="1">
      <c r="A14" s="3278" t="s">
        <v>200</v>
      </c>
      <c r="B14" s="3279"/>
      <c r="C14" s="2747"/>
      <c r="D14" s="2748">
        <v>234000</v>
      </c>
      <c r="E14" s="2748">
        <v>234000</v>
      </c>
      <c r="F14" s="2748">
        <v>234000</v>
      </c>
      <c r="G14" s="2748">
        <v>234000</v>
      </c>
      <c r="H14" s="2748">
        <v>234000</v>
      </c>
      <c r="I14" s="2748">
        <v>234000</v>
      </c>
      <c r="J14" s="2748">
        <v>234000</v>
      </c>
      <c r="K14" s="2748">
        <v>234000</v>
      </c>
      <c r="L14" s="2749">
        <f t="shared" si="0"/>
        <v>0</v>
      </c>
      <c r="M14" s="285">
        <f>'Výdaje kapitol celkem'!AI24</f>
        <v>234000</v>
      </c>
      <c r="N14" s="2750">
        <f>+M14-K14</f>
        <v>0</v>
      </c>
      <c r="O14" s="329"/>
    </row>
    <row r="15" spans="1:15" ht="16.5" customHeight="1" outlineLevel="1">
      <c r="A15" s="2758" t="s">
        <v>199</v>
      </c>
      <c r="B15" s="2754">
        <v>5153</v>
      </c>
      <c r="C15" s="2759"/>
      <c r="D15" s="2760">
        <v>1815000</v>
      </c>
      <c r="E15" s="2760">
        <v>1815000</v>
      </c>
      <c r="F15" s="2760">
        <v>1815000</v>
      </c>
      <c r="G15" s="2760">
        <v>1815000</v>
      </c>
      <c r="H15" s="2760">
        <v>1815000</v>
      </c>
      <c r="I15" s="2760">
        <v>1815000</v>
      </c>
      <c r="J15" s="2760">
        <v>1815000</v>
      </c>
      <c r="K15" s="2760">
        <f>1815000-749000</f>
        <v>1066000</v>
      </c>
      <c r="L15" s="2761">
        <f t="shared" si="0"/>
        <v>-749000</v>
      </c>
      <c r="M15" s="2731"/>
      <c r="N15" s="2750"/>
      <c r="O15" s="329"/>
    </row>
    <row r="16" spans="1:15" ht="16.5" customHeight="1" outlineLevel="1">
      <c r="A16" s="2758" t="s">
        <v>199</v>
      </c>
      <c r="B16" s="2754">
        <v>5153</v>
      </c>
      <c r="C16" s="2759"/>
      <c r="D16" s="2760">
        <v>0</v>
      </c>
      <c r="E16" s="2760">
        <v>0</v>
      </c>
      <c r="F16" s="2760">
        <v>0</v>
      </c>
      <c r="G16" s="2760">
        <v>0</v>
      </c>
      <c r="H16" s="2760">
        <v>0</v>
      </c>
      <c r="I16" s="2760">
        <v>0</v>
      </c>
      <c r="J16" s="2760">
        <v>0</v>
      </c>
      <c r="K16" s="2760">
        <v>0</v>
      </c>
      <c r="L16" s="2761">
        <f t="shared" si="0"/>
        <v>0</v>
      </c>
      <c r="M16" s="2731"/>
      <c r="N16" s="2750"/>
      <c r="O16" s="329"/>
    </row>
    <row r="17" spans="1:15" ht="16.5" customHeight="1" thickBot="1">
      <c r="A17" s="3278" t="s">
        <v>201</v>
      </c>
      <c r="B17" s="3279"/>
      <c r="C17" s="2747"/>
      <c r="D17" s="2748">
        <v>1815000</v>
      </c>
      <c r="E17" s="2748">
        <v>1815000</v>
      </c>
      <c r="F17" s="2748">
        <v>1815000</v>
      </c>
      <c r="G17" s="2748">
        <v>1815000</v>
      </c>
      <c r="H17" s="2748">
        <v>1815000</v>
      </c>
      <c r="I17" s="2748">
        <v>1815000</v>
      </c>
      <c r="J17" s="2748">
        <v>1815000</v>
      </c>
      <c r="K17" s="2748">
        <f>SUM(K15:K16)</f>
        <v>1066000</v>
      </c>
      <c r="L17" s="2749">
        <f t="shared" si="0"/>
        <v>-749000</v>
      </c>
      <c r="M17" s="285">
        <f>'Výdaje kapitol celkem'!AL24</f>
        <v>1066000</v>
      </c>
      <c r="N17" s="2750">
        <f>+M17-K17</f>
        <v>0</v>
      </c>
      <c r="O17" s="329"/>
    </row>
    <row r="18" spans="1:15" ht="17.25" customHeight="1" outlineLevel="1">
      <c r="A18" s="2742" t="s">
        <v>1241</v>
      </c>
      <c r="B18" s="2743">
        <v>5153</v>
      </c>
      <c r="C18" s="2744"/>
      <c r="D18" s="2745">
        <v>0</v>
      </c>
      <c r="E18" s="2745">
        <v>2240</v>
      </c>
      <c r="F18" s="2745">
        <v>2240</v>
      </c>
      <c r="G18" s="2745">
        <v>2240</v>
      </c>
      <c r="H18" s="2745">
        <v>2240</v>
      </c>
      <c r="I18" s="2745">
        <v>2240</v>
      </c>
      <c r="J18" s="2745">
        <v>2240</v>
      </c>
      <c r="K18" s="2745">
        <v>2240</v>
      </c>
      <c r="L18" s="2751">
        <f t="shared" si="0"/>
        <v>0</v>
      </c>
      <c r="M18" s="2731"/>
      <c r="N18" s="2750"/>
      <c r="O18" s="329"/>
    </row>
    <row r="19" spans="1:15" ht="16.5" customHeight="1" outlineLevel="1">
      <c r="A19" s="2758" t="s">
        <v>1241</v>
      </c>
      <c r="B19" s="2754">
        <v>5153</v>
      </c>
      <c r="C19" s="2759"/>
      <c r="D19" s="2760">
        <v>0</v>
      </c>
      <c r="E19" s="2760">
        <v>0</v>
      </c>
      <c r="F19" s="2760">
        <v>0</v>
      </c>
      <c r="G19" s="2760">
        <v>0</v>
      </c>
      <c r="H19" s="2760">
        <v>0</v>
      </c>
      <c r="I19" s="2760">
        <v>0</v>
      </c>
      <c r="J19" s="2760">
        <v>0</v>
      </c>
      <c r="K19" s="2760">
        <v>0</v>
      </c>
      <c r="L19" s="2762">
        <f t="shared" si="0"/>
        <v>0</v>
      </c>
      <c r="M19" s="2731"/>
      <c r="N19" s="2750"/>
      <c r="O19" s="329"/>
    </row>
    <row r="20" spans="1:15" ht="19.5" customHeight="1" thickBot="1">
      <c r="A20" s="3278" t="s">
        <v>1429</v>
      </c>
      <c r="B20" s="3279"/>
      <c r="C20" s="2747"/>
      <c r="D20" s="2748">
        <v>0</v>
      </c>
      <c r="E20" s="2748">
        <v>2240</v>
      </c>
      <c r="F20" s="2748">
        <v>2240</v>
      </c>
      <c r="G20" s="2748">
        <v>2240</v>
      </c>
      <c r="H20" s="2748">
        <v>2240</v>
      </c>
      <c r="I20" s="2748">
        <v>2240</v>
      </c>
      <c r="J20" s="2748">
        <v>2240</v>
      </c>
      <c r="K20" s="2748">
        <v>2240</v>
      </c>
      <c r="L20" s="2749">
        <f t="shared" si="0"/>
        <v>0</v>
      </c>
      <c r="M20" s="285">
        <f>'Výdaje kapitol celkem'!AD24</f>
        <v>2240</v>
      </c>
      <c r="N20" s="2750">
        <f>+M20-K20</f>
        <v>0</v>
      </c>
      <c r="O20" s="329"/>
    </row>
    <row r="21" spans="1:15" ht="16.5" customHeight="1" outlineLevel="1">
      <c r="A21" s="2742">
        <v>3613</v>
      </c>
      <c r="B21" s="2743">
        <v>5153</v>
      </c>
      <c r="C21" s="2744"/>
      <c r="D21" s="2745">
        <v>975000</v>
      </c>
      <c r="E21" s="2745">
        <v>975000</v>
      </c>
      <c r="F21" s="2745">
        <v>975000</v>
      </c>
      <c r="G21" s="2745">
        <v>975000</v>
      </c>
      <c r="H21" s="2745">
        <v>975000</v>
      </c>
      <c r="I21" s="2745">
        <v>975000</v>
      </c>
      <c r="J21" s="2745">
        <v>975000</v>
      </c>
      <c r="K21" s="2745">
        <f>975000-847240</f>
        <v>127760</v>
      </c>
      <c r="L21" s="2751">
        <f t="shared" si="0"/>
        <v>-847240</v>
      </c>
      <c r="M21" s="2731"/>
      <c r="N21" s="2750"/>
      <c r="O21" s="329"/>
    </row>
    <row r="22" spans="1:15" ht="16.5" customHeight="1" outlineLevel="1">
      <c r="A22" s="2758">
        <v>3613</v>
      </c>
      <c r="B22" s="2754">
        <v>5153</v>
      </c>
      <c r="C22" s="2759"/>
      <c r="D22" s="2760">
        <v>0</v>
      </c>
      <c r="E22" s="2760">
        <v>0</v>
      </c>
      <c r="F22" s="2760">
        <v>0</v>
      </c>
      <c r="G22" s="2760">
        <v>0</v>
      </c>
      <c r="H22" s="2760">
        <v>0</v>
      </c>
      <c r="I22" s="2760">
        <v>0</v>
      </c>
      <c r="J22" s="2760">
        <v>0</v>
      </c>
      <c r="K22" s="2760">
        <v>0</v>
      </c>
      <c r="L22" s="2762">
        <f t="shared" si="0"/>
        <v>0</v>
      </c>
      <c r="M22" s="2731"/>
      <c r="N22" s="2750"/>
      <c r="O22" s="329"/>
    </row>
    <row r="23" spans="1:15" ht="19.5" customHeight="1" thickBot="1">
      <c r="A23" s="3278" t="s">
        <v>202</v>
      </c>
      <c r="B23" s="3279"/>
      <c r="C23" s="2747"/>
      <c r="D23" s="2748">
        <v>975000</v>
      </c>
      <c r="E23" s="2748">
        <v>975000</v>
      </c>
      <c r="F23" s="2748">
        <v>975000</v>
      </c>
      <c r="G23" s="2748">
        <v>975000</v>
      </c>
      <c r="H23" s="2748">
        <v>975000</v>
      </c>
      <c r="I23" s="2748">
        <v>975000</v>
      </c>
      <c r="J23" s="2748">
        <v>975000</v>
      </c>
      <c r="K23" s="2748">
        <f>SUM(K21:K22)</f>
        <v>127760</v>
      </c>
      <c r="L23" s="2749">
        <f t="shared" si="0"/>
        <v>-847240</v>
      </c>
      <c r="M23" s="285">
        <f>'Výdaje kapitol celkem'!AO24</f>
        <v>127760</v>
      </c>
      <c r="N23" s="2750">
        <f>+M23-K23</f>
        <v>0</v>
      </c>
      <c r="O23" s="329"/>
    </row>
    <row r="24" spans="1:15" ht="20.25" customHeight="1" outlineLevel="1">
      <c r="A24" s="2742">
        <v>5512</v>
      </c>
      <c r="B24" s="2743">
        <v>5153</v>
      </c>
      <c r="C24" s="2744"/>
      <c r="D24" s="2745">
        <v>123500</v>
      </c>
      <c r="E24" s="2745">
        <v>123500</v>
      </c>
      <c r="F24" s="2745">
        <v>123500</v>
      </c>
      <c r="G24" s="2745">
        <v>123500</v>
      </c>
      <c r="H24" s="2745">
        <v>123500</v>
      </c>
      <c r="I24" s="2745">
        <v>123500</v>
      </c>
      <c r="J24" s="2745">
        <v>123500</v>
      </c>
      <c r="K24" s="2745">
        <f>123500-23500</f>
        <v>100000</v>
      </c>
      <c r="L24" s="2751">
        <f t="shared" si="0"/>
        <v>-23500</v>
      </c>
      <c r="M24" s="2731"/>
      <c r="N24" s="2750"/>
      <c r="O24" s="329"/>
    </row>
    <row r="25" spans="1:15" ht="20.25" customHeight="1" outlineLevel="1">
      <c r="A25" s="2742">
        <v>5512</v>
      </c>
      <c r="B25" s="2743">
        <v>5153</v>
      </c>
      <c r="C25" s="2744"/>
      <c r="D25" s="2745">
        <v>0</v>
      </c>
      <c r="E25" s="2745">
        <v>0</v>
      </c>
      <c r="F25" s="2745">
        <v>0</v>
      </c>
      <c r="G25" s="2745">
        <v>0</v>
      </c>
      <c r="H25" s="2745">
        <v>0</v>
      </c>
      <c r="I25" s="2745">
        <v>0</v>
      </c>
      <c r="J25" s="2745">
        <v>0</v>
      </c>
      <c r="K25" s="2745">
        <v>0</v>
      </c>
      <c r="L25" s="2751">
        <f t="shared" si="0"/>
        <v>0</v>
      </c>
      <c r="M25" s="2731"/>
      <c r="N25" s="2750"/>
      <c r="O25" s="329"/>
    </row>
    <row r="26" spans="1:15" ht="20.25" customHeight="1" thickBot="1">
      <c r="A26" s="3278" t="s">
        <v>203</v>
      </c>
      <c r="B26" s="3279"/>
      <c r="C26" s="2747"/>
      <c r="D26" s="2748">
        <v>123500</v>
      </c>
      <c r="E26" s="2748">
        <v>123500</v>
      </c>
      <c r="F26" s="2748">
        <v>123500</v>
      </c>
      <c r="G26" s="2748">
        <v>123500</v>
      </c>
      <c r="H26" s="2748">
        <v>123500</v>
      </c>
      <c r="I26" s="2748">
        <v>123500</v>
      </c>
      <c r="J26" s="2748">
        <v>123500</v>
      </c>
      <c r="K26" s="2748">
        <f>SUM(K24:K25)</f>
        <v>100000</v>
      </c>
      <c r="L26" s="2749">
        <f t="shared" si="0"/>
        <v>-23500</v>
      </c>
      <c r="M26" s="285">
        <f>'Výdaje kapitol celkem'!AR24</f>
        <v>100000</v>
      </c>
      <c r="N26" s="2750">
        <f>+M26-K26</f>
        <v>0</v>
      </c>
      <c r="O26" s="329"/>
    </row>
    <row r="27" spans="1:15" ht="20.25" customHeight="1" outlineLevel="1">
      <c r="A27" s="2737">
        <v>3113</v>
      </c>
      <c r="B27" s="2738">
        <v>5153</v>
      </c>
      <c r="C27" s="2739"/>
      <c r="D27" s="2740"/>
      <c r="E27" s="2740"/>
      <c r="F27" s="2740"/>
      <c r="G27" s="2740"/>
      <c r="H27" s="2740"/>
      <c r="I27" s="2740"/>
      <c r="J27" s="2740"/>
      <c r="K27" s="2740">
        <v>350000</v>
      </c>
      <c r="L27" s="2741">
        <f t="shared" si="0"/>
        <v>350000</v>
      </c>
      <c r="M27" s="2731"/>
      <c r="N27" s="2750"/>
      <c r="O27" s="329"/>
    </row>
    <row r="28" spans="1:15" ht="20.25" customHeight="1" outlineLevel="1">
      <c r="A28" s="2758">
        <v>3113</v>
      </c>
      <c r="B28" s="2754">
        <v>5153</v>
      </c>
      <c r="C28" s="2759"/>
      <c r="D28" s="2763"/>
      <c r="E28" s="2763"/>
      <c r="F28" s="2763"/>
      <c r="G28" s="2763"/>
      <c r="H28" s="2763"/>
      <c r="I28" s="2763"/>
      <c r="J28" s="2763"/>
      <c r="K28" s="2763"/>
      <c r="L28" s="2762">
        <f t="shared" si="0"/>
        <v>0</v>
      </c>
      <c r="M28" s="2731"/>
      <c r="N28" s="2750"/>
      <c r="O28" s="329"/>
    </row>
    <row r="29" spans="1:15" ht="20.25" customHeight="1" thickBot="1">
      <c r="A29" s="3278" t="s">
        <v>1163</v>
      </c>
      <c r="B29" s="3279"/>
      <c r="C29" s="2747"/>
      <c r="D29" s="2748">
        <v>0</v>
      </c>
      <c r="E29" s="2748">
        <v>0</v>
      </c>
      <c r="F29" s="2748">
        <v>0</v>
      </c>
      <c r="G29" s="2748">
        <v>0</v>
      </c>
      <c r="H29" s="2748">
        <v>0</v>
      </c>
      <c r="I29" s="2748">
        <v>0</v>
      </c>
      <c r="J29" s="2748">
        <v>0</v>
      </c>
      <c r="K29" s="2748">
        <f>SUM(K27:K28)</f>
        <v>350000</v>
      </c>
      <c r="L29" s="2749">
        <f t="shared" si="0"/>
        <v>350000</v>
      </c>
      <c r="M29" s="285">
        <f>'Výdaje kapitol celkem'!BG24</f>
        <v>350000</v>
      </c>
      <c r="N29" s="2750">
        <f>+M29-K29</f>
        <v>0</v>
      </c>
      <c r="O29" s="329"/>
    </row>
    <row r="30" spans="1:15" ht="20.25" customHeight="1" outlineLevel="1">
      <c r="A30" s="2737" t="s">
        <v>1529</v>
      </c>
      <c r="B30" s="2738">
        <v>5153</v>
      </c>
      <c r="C30" s="2739"/>
      <c r="D30" s="2740">
        <v>0</v>
      </c>
      <c r="E30" s="2740">
        <v>0</v>
      </c>
      <c r="F30" s="2740">
        <v>0</v>
      </c>
      <c r="G30" s="2740">
        <v>0</v>
      </c>
      <c r="H30" s="2740">
        <v>0</v>
      </c>
      <c r="I30" s="2740">
        <v>0</v>
      </c>
      <c r="J30" s="2740">
        <v>0</v>
      </c>
      <c r="K30" s="2740">
        <v>0</v>
      </c>
      <c r="L30" s="2741">
        <f t="shared" si="0"/>
        <v>0</v>
      </c>
      <c r="M30" s="2731"/>
      <c r="N30" s="2750"/>
      <c r="O30" s="329"/>
    </row>
    <row r="31" spans="1:15" ht="20.25" customHeight="1" outlineLevel="1">
      <c r="A31" s="2758" t="s">
        <v>1529</v>
      </c>
      <c r="B31" s="2754">
        <v>5153</v>
      </c>
      <c r="C31" s="2759"/>
      <c r="D31" s="2763">
        <v>0</v>
      </c>
      <c r="E31" s="2763">
        <v>0</v>
      </c>
      <c r="F31" s="2763">
        <v>0</v>
      </c>
      <c r="G31" s="2763">
        <v>0</v>
      </c>
      <c r="H31" s="2763">
        <v>0</v>
      </c>
      <c r="I31" s="2763">
        <v>0</v>
      </c>
      <c r="J31" s="2763">
        <v>0</v>
      </c>
      <c r="K31" s="2763">
        <v>0</v>
      </c>
      <c r="L31" s="2762">
        <f t="shared" si="0"/>
        <v>0</v>
      </c>
      <c r="M31" s="2731"/>
      <c r="N31" s="2750"/>
      <c r="O31" s="329"/>
    </row>
    <row r="32" spans="1:15" ht="20.25" customHeight="1" thickBot="1">
      <c r="A32" s="3278" t="s">
        <v>1559</v>
      </c>
      <c r="B32" s="3279"/>
      <c r="C32" s="2747"/>
      <c r="D32" s="2748">
        <v>0</v>
      </c>
      <c r="E32" s="2748">
        <v>0</v>
      </c>
      <c r="F32" s="2748">
        <v>0</v>
      </c>
      <c r="G32" s="2748">
        <v>0</v>
      </c>
      <c r="H32" s="2748">
        <v>0</v>
      </c>
      <c r="I32" s="2748">
        <v>0</v>
      </c>
      <c r="J32" s="2748">
        <v>0</v>
      </c>
      <c r="K32" s="2748">
        <v>0</v>
      </c>
      <c r="L32" s="2749">
        <f t="shared" si="0"/>
        <v>0</v>
      </c>
      <c r="M32" s="285">
        <f>'Výdaje kapitol celkem'!BG27</f>
        <v>0</v>
      </c>
      <c r="N32" s="2750">
        <f>+M32-K32</f>
        <v>0</v>
      </c>
      <c r="O32" s="329"/>
    </row>
    <row r="33" spans="1:15" ht="20.25" customHeight="1" outlineLevel="1">
      <c r="A33" s="2737">
        <v>3114</v>
      </c>
      <c r="B33" s="2738">
        <v>5153</v>
      </c>
      <c r="C33" s="2739"/>
      <c r="D33" s="2740">
        <v>195000</v>
      </c>
      <c r="E33" s="2740">
        <v>195000</v>
      </c>
      <c r="F33" s="2740">
        <v>195000</v>
      </c>
      <c r="G33" s="2740">
        <v>195000</v>
      </c>
      <c r="H33" s="2740">
        <v>195000</v>
      </c>
      <c r="I33" s="2740">
        <v>195000</v>
      </c>
      <c r="J33" s="2740">
        <v>195000</v>
      </c>
      <c r="K33" s="2740">
        <f>195000-125000</f>
        <v>70000</v>
      </c>
      <c r="L33" s="2741">
        <f t="shared" si="0"/>
        <v>-125000</v>
      </c>
      <c r="M33" s="2731"/>
      <c r="N33" s="2750"/>
      <c r="O33" s="329"/>
    </row>
    <row r="34" spans="1:15" ht="20.25" customHeight="1" outlineLevel="1">
      <c r="A34" s="2758">
        <v>3114</v>
      </c>
      <c r="B34" s="2754">
        <v>5153</v>
      </c>
      <c r="C34" s="2759"/>
      <c r="D34" s="2763">
        <v>0</v>
      </c>
      <c r="E34" s="2763">
        <v>0</v>
      </c>
      <c r="F34" s="2763">
        <v>0</v>
      </c>
      <c r="G34" s="2763">
        <v>0</v>
      </c>
      <c r="H34" s="2763">
        <v>0</v>
      </c>
      <c r="I34" s="2763">
        <v>0</v>
      </c>
      <c r="J34" s="2763">
        <v>0</v>
      </c>
      <c r="K34" s="2763">
        <v>0</v>
      </c>
      <c r="L34" s="2762">
        <f t="shared" si="0"/>
        <v>0</v>
      </c>
      <c r="M34" s="2731"/>
      <c r="N34" s="2750"/>
      <c r="O34" s="329"/>
    </row>
    <row r="35" spans="1:15" ht="20.25" customHeight="1" thickBot="1">
      <c r="A35" s="3278" t="s">
        <v>212</v>
      </c>
      <c r="B35" s="3279"/>
      <c r="C35" s="2747"/>
      <c r="D35" s="2748">
        <v>195000</v>
      </c>
      <c r="E35" s="2748">
        <v>195000</v>
      </c>
      <c r="F35" s="2748">
        <v>195000</v>
      </c>
      <c r="G35" s="2748">
        <v>195000</v>
      </c>
      <c r="H35" s="2748">
        <v>195000</v>
      </c>
      <c r="I35" s="2748">
        <v>195000</v>
      </c>
      <c r="J35" s="2748">
        <v>195000</v>
      </c>
      <c r="K35" s="2748">
        <f>SUM(K33:K34)</f>
        <v>70000</v>
      </c>
      <c r="L35" s="2749">
        <f t="shared" si="0"/>
        <v>-125000</v>
      </c>
      <c r="M35" s="285">
        <f>'Výdaje kapitol celkem'!BM24</f>
        <v>70000</v>
      </c>
      <c r="N35" s="2750">
        <f>+M35-K35</f>
        <v>0</v>
      </c>
      <c r="O35" s="329"/>
    </row>
    <row r="36" spans="1:15" s="281" customFormat="1" ht="16.5" thickBot="1">
      <c r="A36" s="3282" t="s">
        <v>1162</v>
      </c>
      <c r="B36" s="3283"/>
      <c r="C36" s="3283"/>
      <c r="D36" s="2764">
        <v>4034750</v>
      </c>
      <c r="E36" s="2764">
        <v>4036990</v>
      </c>
      <c r="F36" s="2764">
        <v>4036990</v>
      </c>
      <c r="G36" s="2764">
        <v>4036990</v>
      </c>
      <c r="H36" s="2764">
        <v>4036990</v>
      </c>
      <c r="I36" s="2764">
        <v>4036990</v>
      </c>
      <c r="J36" s="2764">
        <v>4036990</v>
      </c>
      <c r="K36" s="2764">
        <f>+K35+K29+K26+K23+K17+K14+K11+K8+K20+K32</f>
        <v>2437000</v>
      </c>
      <c r="L36" s="2765">
        <f t="shared" si="0"/>
        <v>-1599990</v>
      </c>
      <c r="M36" s="2766"/>
      <c r="N36" s="2767"/>
      <c r="O36" s="329"/>
    </row>
    <row r="37" spans="1:15">
      <c r="A37" s="109"/>
      <c r="B37" s="109"/>
      <c r="C37" s="109"/>
      <c r="D37" s="190">
        <v>4034750</v>
      </c>
      <c r="E37" s="190">
        <v>4036990</v>
      </c>
      <c r="F37" s="190">
        <v>4036990</v>
      </c>
      <c r="G37" s="190">
        <v>4036990</v>
      </c>
      <c r="H37" s="190">
        <v>4036990</v>
      </c>
      <c r="I37" s="190">
        <v>4036990</v>
      </c>
      <c r="J37" s="190">
        <v>4036990</v>
      </c>
      <c r="K37" s="190">
        <f>'Výdaje kapitol celkem'!K24</f>
        <v>2437000</v>
      </c>
      <c r="L37" s="284"/>
      <c r="M37" s="2731"/>
      <c r="N37" s="1908"/>
    </row>
    <row r="38" spans="1:15" s="323" customFormat="1">
      <c r="A38" s="180"/>
      <c r="B38" s="180"/>
      <c r="C38" s="180" t="s">
        <v>217</v>
      </c>
      <c r="D38" s="180">
        <v>0</v>
      </c>
      <c r="E38" s="180">
        <v>0</v>
      </c>
      <c r="F38" s="180">
        <v>0</v>
      </c>
      <c r="G38" s="180">
        <v>0</v>
      </c>
      <c r="H38" s="180">
        <v>0</v>
      </c>
      <c r="I38" s="180">
        <v>0</v>
      </c>
      <c r="J38" s="180">
        <v>0</v>
      </c>
      <c r="K38" s="284">
        <f>+K37-K36</f>
        <v>0</v>
      </c>
      <c r="L38" s="284"/>
      <c r="M38" s="2731"/>
      <c r="N38" s="1908"/>
    </row>
    <row r="39" spans="1:15">
      <c r="A39" s="2713" t="s">
        <v>545</v>
      </c>
      <c r="B39" s="109"/>
      <c r="C39" s="109"/>
      <c r="D39" s="109"/>
      <c r="E39" s="109"/>
      <c r="F39" s="109"/>
      <c r="G39" s="109"/>
      <c r="H39" s="109"/>
      <c r="I39" s="109"/>
      <c r="J39" s="109"/>
      <c r="K39" s="190"/>
      <c r="L39" s="284"/>
      <c r="M39" s="2731"/>
      <c r="N39" s="1908"/>
    </row>
  </sheetData>
  <sheetProtection algorithmName="SHA-512" hashValue="b5SjMw+Ot3C+H/U1mdNQNu2C7O3ymylK3SHgP4y76YlUElFzZwy5tBeJakwmIovyoH+NsK46CI3JJ42HsuqlcQ==" saltValue="N+4NEkNo1HGnH2YQ8/aRvw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69"/>
  <sheetViews>
    <sheetView topLeftCell="A40" workbookViewId="0">
      <selection activeCell="C49" sqref="C49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4" width="16" style="316" hidden="1" customWidth="1"/>
    <col min="5" max="8" width="13.265625" style="316" hidden="1" customWidth="1"/>
    <col min="9" max="9" width="14.265625" style="316" bestFit="1" customWidth="1"/>
    <col min="10" max="10" width="14.3984375" style="316" customWidth="1"/>
    <col min="11" max="11" width="14.73046875" style="318" customWidth="1"/>
    <col min="12" max="12" width="15.265625" style="319" customWidth="1"/>
    <col min="13" max="13" width="11.73046875" style="2768" bestFit="1" customWidth="1"/>
    <col min="14" max="14" width="10.59765625" style="2769" bestFit="1" customWidth="1"/>
    <col min="15" max="16384" width="9" style="316"/>
  </cols>
  <sheetData>
    <row r="1" spans="1:15" s="2725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20.25" customHeight="1">
      <c r="A2" s="3280" t="s">
        <v>1159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34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/>
      <c r="N4" s="1908" t="s">
        <v>707</v>
      </c>
    </row>
    <row r="5" spans="1:15" ht="15.75" customHeight="1" outlineLevel="1">
      <c r="A5" s="2737">
        <v>6171</v>
      </c>
      <c r="B5" s="2738">
        <v>5154</v>
      </c>
      <c r="C5" s="2739"/>
      <c r="D5" s="2740">
        <v>292500</v>
      </c>
      <c r="E5" s="2740">
        <v>292500</v>
      </c>
      <c r="F5" s="2740">
        <v>292500</v>
      </c>
      <c r="G5" s="2740">
        <v>292500</v>
      </c>
      <c r="H5" s="2740">
        <v>292500</v>
      </c>
      <c r="I5" s="2740">
        <v>292500</v>
      </c>
      <c r="J5" s="2740">
        <v>292500</v>
      </c>
      <c r="K5" s="2740">
        <v>292500</v>
      </c>
      <c r="L5" s="2741">
        <f>+K5-J5</f>
        <v>0</v>
      </c>
      <c r="M5" s="2731"/>
      <c r="N5" s="1908"/>
    </row>
    <row r="6" spans="1:15" ht="15.75" customHeight="1" outlineLevel="1">
      <c r="A6" s="2742">
        <v>6171</v>
      </c>
      <c r="B6" s="2743">
        <v>5154</v>
      </c>
      <c r="C6" s="2744"/>
      <c r="D6" s="2745">
        <v>591500</v>
      </c>
      <c r="E6" s="2745">
        <v>591500</v>
      </c>
      <c r="F6" s="2745">
        <v>591500</v>
      </c>
      <c r="G6" s="2745">
        <v>591500</v>
      </c>
      <c r="H6" s="2745">
        <v>591500</v>
      </c>
      <c r="I6" s="2745">
        <v>591500</v>
      </c>
      <c r="J6" s="2745">
        <v>591500</v>
      </c>
      <c r="K6" s="2745">
        <f>591500-158000</f>
        <v>433500</v>
      </c>
      <c r="L6" s="2746">
        <f t="shared" ref="L6:L66" si="0">+K6-J6</f>
        <v>-158000</v>
      </c>
      <c r="M6" s="2731"/>
      <c r="N6" s="1908"/>
    </row>
    <row r="7" spans="1:15" ht="15.75" customHeight="1" outlineLevel="1">
      <c r="A7" s="2742">
        <v>6171</v>
      </c>
      <c r="B7" s="2743">
        <v>5154</v>
      </c>
      <c r="C7" s="2744"/>
      <c r="D7" s="2745"/>
      <c r="E7" s="2745"/>
      <c r="F7" s="2745"/>
      <c r="G7" s="2745"/>
      <c r="H7" s="2745"/>
      <c r="I7" s="2745"/>
      <c r="J7" s="2745"/>
      <c r="K7" s="2745"/>
      <c r="L7" s="2746">
        <f t="shared" si="0"/>
        <v>0</v>
      </c>
      <c r="M7" s="2731"/>
      <c r="N7" s="1908"/>
    </row>
    <row r="8" spans="1:15" s="432" customFormat="1" ht="16.5" customHeight="1" thickBot="1">
      <c r="A8" s="3278" t="s">
        <v>213</v>
      </c>
      <c r="B8" s="3279"/>
      <c r="C8" s="2747"/>
      <c r="D8" s="2748">
        <v>884000</v>
      </c>
      <c r="E8" s="2748">
        <v>884000</v>
      </c>
      <c r="F8" s="2748">
        <v>884000</v>
      </c>
      <c r="G8" s="2748">
        <v>884000</v>
      </c>
      <c r="H8" s="2748">
        <v>884000</v>
      </c>
      <c r="I8" s="2748">
        <v>884000</v>
      </c>
      <c r="J8" s="2748">
        <v>884000</v>
      </c>
      <c r="K8" s="2748">
        <f>SUM(K5:K7)</f>
        <v>726000</v>
      </c>
      <c r="L8" s="2749">
        <f t="shared" si="0"/>
        <v>-158000</v>
      </c>
      <c r="M8" s="285">
        <f>'Výdaje kapitol celkem'!T25</f>
        <v>726000</v>
      </c>
      <c r="N8" s="2750">
        <f>+M8-K8</f>
        <v>0</v>
      </c>
      <c r="O8" s="329"/>
    </row>
    <row r="9" spans="1:15" ht="15.75" customHeight="1" outlineLevel="1">
      <c r="A9" s="2737">
        <v>3314</v>
      </c>
      <c r="B9" s="2738">
        <v>5154</v>
      </c>
      <c r="C9" s="2739"/>
      <c r="D9" s="2740">
        <v>230100</v>
      </c>
      <c r="E9" s="2740">
        <v>230100</v>
      </c>
      <c r="F9" s="2740">
        <v>230100</v>
      </c>
      <c r="G9" s="2740">
        <v>230100</v>
      </c>
      <c r="H9" s="2740">
        <v>230100</v>
      </c>
      <c r="I9" s="2740">
        <v>230100</v>
      </c>
      <c r="J9" s="2740">
        <v>230100</v>
      </c>
      <c r="K9" s="2740">
        <f>230100-130100</f>
        <v>100000</v>
      </c>
      <c r="L9" s="2741">
        <f t="shared" si="0"/>
        <v>-130100</v>
      </c>
      <c r="M9" s="2731"/>
      <c r="N9" s="2750"/>
      <c r="O9" s="329"/>
    </row>
    <row r="10" spans="1:15" ht="15.75" customHeight="1" outlineLevel="1">
      <c r="A10" s="2742">
        <v>3314</v>
      </c>
      <c r="B10" s="2743">
        <v>5154</v>
      </c>
      <c r="C10" s="2744"/>
      <c r="D10" s="2745">
        <v>0</v>
      </c>
      <c r="E10" s="2745">
        <v>0</v>
      </c>
      <c r="F10" s="2745">
        <v>0</v>
      </c>
      <c r="G10" s="2745">
        <v>0</v>
      </c>
      <c r="H10" s="2745">
        <v>0</v>
      </c>
      <c r="I10" s="2745">
        <v>0</v>
      </c>
      <c r="J10" s="2745">
        <v>0</v>
      </c>
      <c r="K10" s="2745">
        <v>0</v>
      </c>
      <c r="L10" s="2751">
        <f t="shared" si="0"/>
        <v>0</v>
      </c>
      <c r="M10" s="2731"/>
      <c r="N10" s="2750"/>
      <c r="O10" s="329"/>
    </row>
    <row r="11" spans="1:15" s="432" customFormat="1" ht="16.5" customHeight="1" thickBot="1">
      <c r="A11" s="3278" t="s">
        <v>1170</v>
      </c>
      <c r="B11" s="3279"/>
      <c r="C11" s="2747"/>
      <c r="D11" s="2748">
        <v>230100</v>
      </c>
      <c r="E11" s="2748">
        <v>230100</v>
      </c>
      <c r="F11" s="2748">
        <v>230100</v>
      </c>
      <c r="G11" s="2748">
        <v>230100</v>
      </c>
      <c r="H11" s="2748">
        <v>230100</v>
      </c>
      <c r="I11" s="2748">
        <v>230100</v>
      </c>
      <c r="J11" s="2748">
        <v>230100</v>
      </c>
      <c r="K11" s="2748">
        <f>SUM(K9:K10)</f>
        <v>100000</v>
      </c>
      <c r="L11" s="2749">
        <f t="shared" si="0"/>
        <v>-130100</v>
      </c>
      <c r="M11" s="285">
        <f>'Výdaje kapitol celkem'!AF25</f>
        <v>100000</v>
      </c>
      <c r="N11" s="2750">
        <f>+M11-K11</f>
        <v>0</v>
      </c>
      <c r="O11" s="329"/>
    </row>
    <row r="12" spans="1:15" ht="15.75" customHeight="1" outlineLevel="1">
      <c r="A12" s="2737">
        <v>3612</v>
      </c>
      <c r="B12" s="2738">
        <v>5154</v>
      </c>
      <c r="C12" s="2739"/>
      <c r="D12" s="2740">
        <v>195000</v>
      </c>
      <c r="E12" s="2740">
        <v>195000</v>
      </c>
      <c r="F12" s="2740">
        <v>195000</v>
      </c>
      <c r="G12" s="2740">
        <v>195000</v>
      </c>
      <c r="H12" s="2740">
        <v>195000</v>
      </c>
      <c r="I12" s="2740">
        <v>195000</v>
      </c>
      <c r="J12" s="2740">
        <v>195000</v>
      </c>
      <c r="K12" s="2740">
        <v>195000</v>
      </c>
      <c r="L12" s="2741">
        <f t="shared" si="0"/>
        <v>0</v>
      </c>
      <c r="M12" s="2731"/>
      <c r="N12" s="2750"/>
      <c r="O12" s="329"/>
    </row>
    <row r="13" spans="1:15" ht="15.75" customHeight="1" outlineLevel="1">
      <c r="A13" s="2742">
        <v>3612</v>
      </c>
      <c r="B13" s="2743">
        <v>5154</v>
      </c>
      <c r="C13" s="2744"/>
      <c r="D13" s="2745">
        <v>0</v>
      </c>
      <c r="E13" s="2745">
        <v>0</v>
      </c>
      <c r="F13" s="2745">
        <v>0</v>
      </c>
      <c r="G13" s="2745">
        <v>0</v>
      </c>
      <c r="H13" s="2745">
        <v>0</v>
      </c>
      <c r="I13" s="2745">
        <v>0</v>
      </c>
      <c r="J13" s="2745">
        <v>0</v>
      </c>
      <c r="K13" s="2745">
        <v>0</v>
      </c>
      <c r="L13" s="2746">
        <f t="shared" si="0"/>
        <v>0</v>
      </c>
      <c r="M13" s="2731"/>
      <c r="N13" s="2750"/>
      <c r="O13" s="329"/>
    </row>
    <row r="14" spans="1:15" s="432" customFormat="1" ht="16.5" customHeight="1" thickBot="1">
      <c r="A14" s="3278" t="s">
        <v>200</v>
      </c>
      <c r="B14" s="3279"/>
      <c r="C14" s="2747"/>
      <c r="D14" s="2748">
        <v>195000</v>
      </c>
      <c r="E14" s="2748">
        <v>195000</v>
      </c>
      <c r="F14" s="2748">
        <v>195000</v>
      </c>
      <c r="G14" s="2748">
        <v>195000</v>
      </c>
      <c r="H14" s="2748">
        <v>195000</v>
      </c>
      <c r="I14" s="2748">
        <v>195000</v>
      </c>
      <c r="J14" s="2748">
        <v>195000</v>
      </c>
      <c r="K14" s="2748">
        <f>SUM(K12:K13)</f>
        <v>195000</v>
      </c>
      <c r="L14" s="2749">
        <f t="shared" si="0"/>
        <v>0</v>
      </c>
      <c r="M14" s="285">
        <f>'Výdaje kapitol celkem'!AI25</f>
        <v>195000</v>
      </c>
      <c r="N14" s="2750">
        <f>+M14-K14</f>
        <v>0</v>
      </c>
      <c r="O14" s="329"/>
    </row>
    <row r="15" spans="1:15" ht="16.5" customHeight="1" outlineLevel="1">
      <c r="A15" s="2758" t="s">
        <v>199</v>
      </c>
      <c r="B15" s="2754">
        <v>5154</v>
      </c>
      <c r="C15" s="2759"/>
      <c r="D15" s="2760">
        <v>585000</v>
      </c>
      <c r="E15" s="2760">
        <v>585000</v>
      </c>
      <c r="F15" s="2760">
        <v>585000</v>
      </c>
      <c r="G15" s="2760">
        <v>585000</v>
      </c>
      <c r="H15" s="2760">
        <v>585000</v>
      </c>
      <c r="I15" s="2760">
        <v>585000</v>
      </c>
      <c r="J15" s="2760">
        <v>585000</v>
      </c>
      <c r="K15" s="2760">
        <f>585000-440000</f>
        <v>145000</v>
      </c>
      <c r="L15" s="2761">
        <f t="shared" si="0"/>
        <v>-440000</v>
      </c>
      <c r="M15" s="2731"/>
      <c r="N15" s="2750"/>
      <c r="O15" s="329"/>
    </row>
    <row r="16" spans="1:15" ht="16.5" customHeight="1" outlineLevel="1">
      <c r="A16" s="2758" t="s">
        <v>199</v>
      </c>
      <c r="B16" s="2754">
        <v>5154</v>
      </c>
      <c r="C16" s="2759"/>
      <c r="D16" s="2760">
        <v>0</v>
      </c>
      <c r="E16" s="2760">
        <v>0</v>
      </c>
      <c r="F16" s="2760">
        <v>0</v>
      </c>
      <c r="G16" s="2760">
        <v>0</v>
      </c>
      <c r="H16" s="2760">
        <v>0</v>
      </c>
      <c r="I16" s="2760">
        <v>0</v>
      </c>
      <c r="J16" s="2760">
        <v>0</v>
      </c>
      <c r="K16" s="2760">
        <v>0</v>
      </c>
      <c r="L16" s="2761">
        <f t="shared" si="0"/>
        <v>0</v>
      </c>
      <c r="M16" s="2731"/>
      <c r="N16" s="2750"/>
      <c r="O16" s="329"/>
    </row>
    <row r="17" spans="1:15" ht="16.5" customHeight="1" thickBot="1">
      <c r="A17" s="3278" t="s">
        <v>201</v>
      </c>
      <c r="B17" s="3279"/>
      <c r="C17" s="2747"/>
      <c r="D17" s="2748">
        <v>585000</v>
      </c>
      <c r="E17" s="2748">
        <v>585000</v>
      </c>
      <c r="F17" s="2748">
        <v>585000</v>
      </c>
      <c r="G17" s="2748">
        <v>585000</v>
      </c>
      <c r="H17" s="2748">
        <v>585000</v>
      </c>
      <c r="I17" s="2748">
        <v>585000</v>
      </c>
      <c r="J17" s="2748">
        <v>585000</v>
      </c>
      <c r="K17" s="2748">
        <f>SUM(K15:K16)</f>
        <v>145000</v>
      </c>
      <c r="L17" s="2749">
        <f t="shared" si="0"/>
        <v>-440000</v>
      </c>
      <c r="M17" s="285">
        <f>'Výdaje kapitol celkem'!AL25</f>
        <v>145000</v>
      </c>
      <c r="N17" s="2750">
        <f>+M17-K17</f>
        <v>0</v>
      </c>
      <c r="O17" s="329"/>
    </row>
    <row r="18" spans="1:15" ht="16.5" customHeight="1" outlineLevel="1">
      <c r="A18" s="2742">
        <v>3613</v>
      </c>
      <c r="B18" s="2743">
        <v>5154</v>
      </c>
      <c r="C18" s="2744"/>
      <c r="D18" s="2745">
        <v>0</v>
      </c>
      <c r="E18" s="2745">
        <v>24000</v>
      </c>
      <c r="F18" s="2745">
        <v>24000</v>
      </c>
      <c r="G18" s="2745">
        <v>24000</v>
      </c>
      <c r="H18" s="2745">
        <v>24000</v>
      </c>
      <c r="I18" s="2745">
        <v>24000</v>
      </c>
      <c r="J18" s="2745">
        <v>24000</v>
      </c>
      <c r="K18" s="2745">
        <v>24000</v>
      </c>
      <c r="L18" s="2751">
        <f t="shared" si="0"/>
        <v>0</v>
      </c>
      <c r="M18" s="2731"/>
      <c r="N18" s="2750"/>
      <c r="O18" s="329"/>
    </row>
    <row r="19" spans="1:15" ht="16.5" customHeight="1" outlineLevel="1">
      <c r="A19" s="2758">
        <v>3613</v>
      </c>
      <c r="B19" s="2754">
        <v>5154</v>
      </c>
      <c r="C19" s="2759"/>
      <c r="D19" s="2760">
        <v>0</v>
      </c>
      <c r="E19" s="2760">
        <v>0</v>
      </c>
      <c r="F19" s="2760">
        <v>0</v>
      </c>
      <c r="G19" s="2760">
        <v>0</v>
      </c>
      <c r="H19" s="2760">
        <v>0</v>
      </c>
      <c r="I19" s="2760">
        <v>0</v>
      </c>
      <c r="J19" s="2760">
        <v>0</v>
      </c>
      <c r="K19" s="2760">
        <v>0</v>
      </c>
      <c r="L19" s="2762">
        <f t="shared" si="0"/>
        <v>0</v>
      </c>
      <c r="M19" s="2731"/>
      <c r="N19" s="2750"/>
      <c r="O19" s="329"/>
    </row>
    <row r="20" spans="1:15" ht="19.5" customHeight="1" thickBot="1">
      <c r="A20" s="3278" t="s">
        <v>1429</v>
      </c>
      <c r="B20" s="3279"/>
      <c r="C20" s="2747"/>
      <c r="D20" s="2748">
        <v>0</v>
      </c>
      <c r="E20" s="2748">
        <v>24000</v>
      </c>
      <c r="F20" s="2748">
        <v>24000</v>
      </c>
      <c r="G20" s="2748">
        <v>24000</v>
      </c>
      <c r="H20" s="2748">
        <v>24000</v>
      </c>
      <c r="I20" s="2748">
        <v>24000</v>
      </c>
      <c r="J20" s="2748">
        <v>24000</v>
      </c>
      <c r="K20" s="2748">
        <f>SUM(K18:K19)</f>
        <v>24000</v>
      </c>
      <c r="L20" s="2749">
        <f t="shared" si="0"/>
        <v>0</v>
      </c>
      <c r="M20" s="285">
        <f>'Výdaje kapitol celkem'!AD25</f>
        <v>24000</v>
      </c>
      <c r="N20" s="2750">
        <f>+M20-K20</f>
        <v>0</v>
      </c>
      <c r="O20" s="329"/>
    </row>
    <row r="21" spans="1:15" ht="16.5" customHeight="1" outlineLevel="1">
      <c r="A21" s="2742">
        <v>3613</v>
      </c>
      <c r="B21" s="2743">
        <v>5154</v>
      </c>
      <c r="C21" s="2744"/>
      <c r="D21" s="2745">
        <v>605800</v>
      </c>
      <c r="E21" s="2745">
        <v>605800</v>
      </c>
      <c r="F21" s="2745">
        <v>605800</v>
      </c>
      <c r="G21" s="2745">
        <v>605800</v>
      </c>
      <c r="H21" s="2745">
        <v>605800</v>
      </c>
      <c r="I21" s="2745">
        <v>605800</v>
      </c>
      <c r="J21" s="2745">
        <v>605800</v>
      </c>
      <c r="K21" s="2745">
        <f>605800-469800</f>
        <v>136000</v>
      </c>
      <c r="L21" s="2751">
        <f t="shared" si="0"/>
        <v>-469800</v>
      </c>
      <c r="M21" s="2731"/>
      <c r="N21" s="2750"/>
      <c r="O21" s="329"/>
    </row>
    <row r="22" spans="1:15" ht="16.5" customHeight="1" outlineLevel="1">
      <c r="A22" s="2758">
        <v>3613</v>
      </c>
      <c r="B22" s="2754">
        <v>5154</v>
      </c>
      <c r="C22" s="2759"/>
      <c r="D22" s="2760">
        <v>0</v>
      </c>
      <c r="E22" s="2760">
        <v>0</v>
      </c>
      <c r="F22" s="2760">
        <v>0</v>
      </c>
      <c r="G22" s="2760">
        <v>0</v>
      </c>
      <c r="H22" s="2760">
        <v>0</v>
      </c>
      <c r="I22" s="2760">
        <v>0</v>
      </c>
      <c r="J22" s="2760">
        <v>0</v>
      </c>
      <c r="K22" s="2760">
        <v>0</v>
      </c>
      <c r="L22" s="2762">
        <f t="shared" si="0"/>
        <v>0</v>
      </c>
      <c r="M22" s="2731"/>
      <c r="N22" s="2750"/>
      <c r="O22" s="329"/>
    </row>
    <row r="23" spans="1:15" ht="19.5" customHeight="1" thickBot="1">
      <c r="A23" s="3278" t="s">
        <v>202</v>
      </c>
      <c r="B23" s="3279"/>
      <c r="C23" s="2747"/>
      <c r="D23" s="2748">
        <v>605800</v>
      </c>
      <c r="E23" s="2748">
        <v>605800</v>
      </c>
      <c r="F23" s="2748">
        <v>605800</v>
      </c>
      <c r="G23" s="2748">
        <v>605800</v>
      </c>
      <c r="H23" s="2748">
        <v>605800</v>
      </c>
      <c r="I23" s="2748">
        <v>605800</v>
      </c>
      <c r="J23" s="2748">
        <v>605800</v>
      </c>
      <c r="K23" s="2748">
        <f>SUM(K21:K22)</f>
        <v>136000</v>
      </c>
      <c r="L23" s="2749">
        <f t="shared" si="0"/>
        <v>-469800</v>
      </c>
      <c r="M23" s="285">
        <f>'Výdaje kapitol celkem'!AO25</f>
        <v>136000</v>
      </c>
      <c r="N23" s="2750">
        <f>+M23-K23</f>
        <v>0</v>
      </c>
      <c r="O23" s="329"/>
    </row>
    <row r="24" spans="1:15" ht="20.25" customHeight="1" outlineLevel="1">
      <c r="A24" s="2742">
        <v>5512</v>
      </c>
      <c r="B24" s="2743">
        <v>5154</v>
      </c>
      <c r="C24" s="2744"/>
      <c r="D24" s="2745">
        <v>106400</v>
      </c>
      <c r="E24" s="2745">
        <v>106400</v>
      </c>
      <c r="F24" s="2745">
        <v>106400</v>
      </c>
      <c r="G24" s="2745">
        <v>106400</v>
      </c>
      <c r="H24" s="2745">
        <v>106400</v>
      </c>
      <c r="I24" s="2745">
        <v>106400</v>
      </c>
      <c r="J24" s="2745">
        <v>106400</v>
      </c>
      <c r="K24" s="2745">
        <f>106400-26400</f>
        <v>80000</v>
      </c>
      <c r="L24" s="2751">
        <f t="shared" si="0"/>
        <v>-26400</v>
      </c>
      <c r="M24" s="2731"/>
      <c r="N24" s="2750"/>
      <c r="O24" s="329"/>
    </row>
    <row r="25" spans="1:15" ht="20.25" customHeight="1" outlineLevel="1">
      <c r="A25" s="2742">
        <v>5512</v>
      </c>
      <c r="B25" s="2743">
        <v>5154</v>
      </c>
      <c r="C25" s="2744"/>
      <c r="D25" s="2745">
        <v>0</v>
      </c>
      <c r="E25" s="2745">
        <v>0</v>
      </c>
      <c r="F25" s="2745">
        <v>0</v>
      </c>
      <c r="G25" s="2745">
        <v>0</v>
      </c>
      <c r="H25" s="2745">
        <v>0</v>
      </c>
      <c r="I25" s="2745">
        <v>0</v>
      </c>
      <c r="J25" s="2745">
        <v>0</v>
      </c>
      <c r="K25" s="2745">
        <v>0</v>
      </c>
      <c r="L25" s="2751">
        <f t="shared" si="0"/>
        <v>0</v>
      </c>
      <c r="M25" s="2731"/>
      <c r="N25" s="2750"/>
      <c r="O25" s="329"/>
    </row>
    <row r="26" spans="1:15" ht="20.25" customHeight="1" thickBot="1">
      <c r="A26" s="3278" t="s">
        <v>203</v>
      </c>
      <c r="B26" s="3279"/>
      <c r="C26" s="2747"/>
      <c r="D26" s="2748">
        <v>106400</v>
      </c>
      <c r="E26" s="2748">
        <v>106400</v>
      </c>
      <c r="F26" s="2748">
        <v>106400</v>
      </c>
      <c r="G26" s="2748">
        <v>106400</v>
      </c>
      <c r="H26" s="2748">
        <v>106400</v>
      </c>
      <c r="I26" s="2748">
        <v>106400</v>
      </c>
      <c r="J26" s="2748">
        <v>106400</v>
      </c>
      <c r="K26" s="2748">
        <f>SUM(K24:K25)</f>
        <v>80000</v>
      </c>
      <c r="L26" s="2749">
        <f t="shared" si="0"/>
        <v>-26400</v>
      </c>
      <c r="M26" s="285">
        <f>'Výdaje kapitol celkem'!AR25</f>
        <v>80000</v>
      </c>
      <c r="N26" s="2750">
        <f>+M26-K26</f>
        <v>0</v>
      </c>
      <c r="O26" s="329"/>
    </row>
    <row r="27" spans="1:15" ht="20.25" customHeight="1" outlineLevel="1">
      <c r="A27" s="2737">
        <v>3429</v>
      </c>
      <c r="B27" s="2738">
        <v>5154</v>
      </c>
      <c r="C27" s="2739"/>
      <c r="D27" s="2740">
        <v>0</v>
      </c>
      <c r="E27" s="2740">
        <v>0</v>
      </c>
      <c r="F27" s="2740">
        <v>0</v>
      </c>
      <c r="G27" s="2740">
        <v>0</v>
      </c>
      <c r="H27" s="2740">
        <v>0</v>
      </c>
      <c r="I27" s="2740">
        <v>0</v>
      </c>
      <c r="J27" s="2740">
        <v>0</v>
      </c>
      <c r="K27" s="2740">
        <v>0</v>
      </c>
      <c r="L27" s="2741">
        <f t="shared" si="0"/>
        <v>0</v>
      </c>
      <c r="M27" s="2731"/>
      <c r="N27" s="2750"/>
      <c r="O27" s="329"/>
    </row>
    <row r="28" spans="1:15" ht="20.25" customHeight="1" outlineLevel="1">
      <c r="A28" s="2758">
        <v>3429</v>
      </c>
      <c r="B28" s="2754">
        <v>5154</v>
      </c>
      <c r="C28" s="2759"/>
      <c r="D28" s="2763">
        <v>0</v>
      </c>
      <c r="E28" s="2763">
        <v>0</v>
      </c>
      <c r="F28" s="2763">
        <v>0</v>
      </c>
      <c r="G28" s="2763">
        <v>0</v>
      </c>
      <c r="H28" s="2763">
        <v>0</v>
      </c>
      <c r="I28" s="2763">
        <v>0</v>
      </c>
      <c r="J28" s="2763">
        <v>0</v>
      </c>
      <c r="K28" s="2763">
        <v>0</v>
      </c>
      <c r="L28" s="2762">
        <f t="shared" si="0"/>
        <v>0</v>
      </c>
      <c r="M28" s="2731"/>
      <c r="N28" s="2750"/>
      <c r="O28" s="329"/>
    </row>
    <row r="29" spans="1:15" ht="20.25" customHeight="1" thickBot="1">
      <c r="A29" s="3278" t="s">
        <v>1164</v>
      </c>
      <c r="B29" s="3279"/>
      <c r="C29" s="2747"/>
      <c r="D29" s="2748">
        <v>0</v>
      </c>
      <c r="E29" s="2748">
        <v>0</v>
      </c>
      <c r="F29" s="2748">
        <v>0</v>
      </c>
      <c r="G29" s="2748">
        <v>0</v>
      </c>
      <c r="H29" s="2748">
        <v>0</v>
      </c>
      <c r="I29" s="2748">
        <v>0</v>
      </c>
      <c r="J29" s="2748">
        <v>0</v>
      </c>
      <c r="K29" s="2748">
        <f>SUM(K27:K28)</f>
        <v>0</v>
      </c>
      <c r="L29" s="2749">
        <f t="shared" si="0"/>
        <v>0</v>
      </c>
      <c r="M29" s="285">
        <f>'Výdaje kapitol celkem'!AT25</f>
        <v>0</v>
      </c>
      <c r="N29" s="2750">
        <f>+M29-K29</f>
        <v>0</v>
      </c>
      <c r="O29" s="329"/>
    </row>
    <row r="30" spans="1:15" ht="20.25" customHeight="1" outlineLevel="1">
      <c r="A30" s="2737">
        <v>3412</v>
      </c>
      <c r="B30" s="2738">
        <v>5154</v>
      </c>
      <c r="C30" s="2739"/>
      <c r="D30" s="2740">
        <v>0</v>
      </c>
      <c r="E30" s="2740">
        <v>0</v>
      </c>
      <c r="F30" s="2740">
        <v>0</v>
      </c>
      <c r="G30" s="2740">
        <v>0</v>
      </c>
      <c r="H30" s="2740">
        <v>0</v>
      </c>
      <c r="I30" s="2740">
        <v>0</v>
      </c>
      <c r="J30" s="2740">
        <v>0</v>
      </c>
      <c r="K30" s="2740">
        <v>0</v>
      </c>
      <c r="L30" s="2741">
        <f t="shared" si="0"/>
        <v>0</v>
      </c>
      <c r="M30" s="2731"/>
      <c r="N30" s="2750"/>
      <c r="O30" s="329"/>
    </row>
    <row r="31" spans="1:15" ht="20.25" customHeight="1" outlineLevel="1">
      <c r="A31" s="2758">
        <v>3412</v>
      </c>
      <c r="B31" s="2754">
        <v>5154</v>
      </c>
      <c r="C31" s="2759"/>
      <c r="D31" s="2760">
        <v>0</v>
      </c>
      <c r="E31" s="2760">
        <v>0</v>
      </c>
      <c r="F31" s="2760">
        <v>0</v>
      </c>
      <c r="G31" s="2760">
        <v>0</v>
      </c>
      <c r="H31" s="2760">
        <v>0</v>
      </c>
      <c r="I31" s="2760">
        <v>0</v>
      </c>
      <c r="J31" s="2760">
        <v>0</v>
      </c>
      <c r="K31" s="2760">
        <v>0</v>
      </c>
      <c r="L31" s="2762">
        <f t="shared" si="0"/>
        <v>0</v>
      </c>
      <c r="M31" s="2731"/>
      <c r="N31" s="2750"/>
      <c r="O31" s="329"/>
    </row>
    <row r="32" spans="1:15" ht="20.25" customHeight="1" thickBot="1">
      <c r="A32" s="3278" t="s">
        <v>625</v>
      </c>
      <c r="B32" s="3279"/>
      <c r="C32" s="2747"/>
      <c r="D32" s="2748">
        <v>0</v>
      </c>
      <c r="E32" s="2748">
        <v>0</v>
      </c>
      <c r="F32" s="2748">
        <v>0</v>
      </c>
      <c r="G32" s="2748">
        <v>0</v>
      </c>
      <c r="H32" s="2748">
        <v>0</v>
      </c>
      <c r="I32" s="2748">
        <v>0</v>
      </c>
      <c r="J32" s="2748">
        <v>0</v>
      </c>
      <c r="K32" s="2748">
        <f>SUM(K30:K31)</f>
        <v>0</v>
      </c>
      <c r="L32" s="2749">
        <f t="shared" si="0"/>
        <v>0</v>
      </c>
      <c r="M32" s="285">
        <f>'Výdaje kapitol celkem'!AX25</f>
        <v>0</v>
      </c>
      <c r="N32" s="2750">
        <f>+M32-K32</f>
        <v>0</v>
      </c>
      <c r="O32" s="329"/>
    </row>
    <row r="33" spans="1:15" ht="20.25" customHeight="1" outlineLevel="1">
      <c r="A33" s="2737">
        <v>3412</v>
      </c>
      <c r="B33" s="2738">
        <v>5154</v>
      </c>
      <c r="C33" s="2973"/>
      <c r="D33" s="2740">
        <v>60000</v>
      </c>
      <c r="E33" s="2740">
        <v>60000</v>
      </c>
      <c r="F33" s="2740">
        <v>60000</v>
      </c>
      <c r="G33" s="2740">
        <v>60000</v>
      </c>
      <c r="H33" s="2740">
        <v>60000</v>
      </c>
      <c r="I33" s="2740">
        <v>60000</v>
      </c>
      <c r="J33" s="2740">
        <v>60000</v>
      </c>
      <c r="K33" s="2740">
        <v>0</v>
      </c>
      <c r="L33" s="2741">
        <f t="shared" si="0"/>
        <v>-60000</v>
      </c>
      <c r="M33" s="2731"/>
      <c r="N33" s="2750"/>
      <c r="O33" s="329"/>
    </row>
    <row r="34" spans="1:15" ht="20.25" customHeight="1" outlineLevel="1">
      <c r="A34" s="2758">
        <v>3412</v>
      </c>
      <c r="B34" s="2754">
        <v>5154</v>
      </c>
      <c r="C34" s="2759"/>
      <c r="D34" s="2760">
        <v>0</v>
      </c>
      <c r="E34" s="2760">
        <v>0</v>
      </c>
      <c r="F34" s="2760">
        <v>0</v>
      </c>
      <c r="G34" s="2760">
        <v>0</v>
      </c>
      <c r="H34" s="2760">
        <v>0</v>
      </c>
      <c r="I34" s="2760">
        <v>0</v>
      </c>
      <c r="J34" s="2760">
        <v>0</v>
      </c>
      <c r="K34" s="2760">
        <v>0</v>
      </c>
      <c r="L34" s="2762">
        <f t="shared" si="0"/>
        <v>0</v>
      </c>
      <c r="M34" s="2731"/>
      <c r="N34" s="2750"/>
      <c r="O34" s="329"/>
    </row>
    <row r="35" spans="1:15" ht="20.25" customHeight="1" thickBot="1">
      <c r="A35" s="3278" t="s">
        <v>1178</v>
      </c>
      <c r="B35" s="3279"/>
      <c r="C35" s="2747"/>
      <c r="D35" s="2748">
        <v>60000</v>
      </c>
      <c r="E35" s="2748">
        <v>60000</v>
      </c>
      <c r="F35" s="2748">
        <v>60000</v>
      </c>
      <c r="G35" s="2748">
        <v>60000</v>
      </c>
      <c r="H35" s="2748">
        <v>60000</v>
      </c>
      <c r="I35" s="2748">
        <v>60000</v>
      </c>
      <c r="J35" s="2748">
        <v>60000</v>
      </c>
      <c r="K35" s="2748">
        <f>SUM(K33:K34)</f>
        <v>0</v>
      </c>
      <c r="L35" s="2749">
        <f t="shared" si="0"/>
        <v>-60000</v>
      </c>
      <c r="M35" s="285">
        <f>'Výdaje kapitol celkem'!BA25</f>
        <v>0</v>
      </c>
      <c r="N35" s="2750">
        <f>+M35-K35</f>
        <v>0</v>
      </c>
      <c r="O35" s="329"/>
    </row>
    <row r="36" spans="1:15" ht="20.25" customHeight="1" outlineLevel="1">
      <c r="A36" s="2737">
        <v>3113</v>
      </c>
      <c r="B36" s="2738">
        <v>5154</v>
      </c>
      <c r="C36" s="2973"/>
      <c r="D36" s="2740">
        <v>0</v>
      </c>
      <c r="E36" s="2740">
        <v>0</v>
      </c>
      <c r="F36" s="2740">
        <v>0</v>
      </c>
      <c r="G36" s="2740">
        <v>0</v>
      </c>
      <c r="H36" s="2740">
        <v>0</v>
      </c>
      <c r="I36" s="2740">
        <v>0</v>
      </c>
      <c r="J36" s="2740">
        <v>0</v>
      </c>
      <c r="K36" s="2740">
        <v>36500</v>
      </c>
      <c r="L36" s="2741">
        <f t="shared" si="0"/>
        <v>36500</v>
      </c>
      <c r="M36" s="2731"/>
      <c r="N36" s="2750"/>
      <c r="O36" s="329"/>
    </row>
    <row r="37" spans="1:15" ht="20.25" customHeight="1" outlineLevel="1">
      <c r="A37" s="2758">
        <v>3113</v>
      </c>
      <c r="B37" s="2754">
        <v>5154</v>
      </c>
      <c r="C37" s="2973"/>
      <c r="D37" s="2760">
        <v>0</v>
      </c>
      <c r="E37" s="2760">
        <v>0</v>
      </c>
      <c r="F37" s="2760">
        <v>0</v>
      </c>
      <c r="G37" s="2760">
        <v>0</v>
      </c>
      <c r="H37" s="2760">
        <v>0</v>
      </c>
      <c r="I37" s="2760">
        <v>0</v>
      </c>
      <c r="J37" s="2760">
        <v>0</v>
      </c>
      <c r="K37" s="2760">
        <v>0</v>
      </c>
      <c r="L37" s="2762">
        <f t="shared" si="0"/>
        <v>0</v>
      </c>
      <c r="M37" s="2731"/>
      <c r="N37" s="2750"/>
      <c r="O37" s="329"/>
    </row>
    <row r="38" spans="1:15" ht="20.25" customHeight="1" thickBot="1">
      <c r="A38" s="3278" t="s">
        <v>1163</v>
      </c>
      <c r="B38" s="3279"/>
      <c r="C38" s="2747"/>
      <c r="D38" s="2748">
        <v>0</v>
      </c>
      <c r="E38" s="2748">
        <v>0</v>
      </c>
      <c r="F38" s="2748">
        <v>0</v>
      </c>
      <c r="G38" s="2748">
        <v>0</v>
      </c>
      <c r="H38" s="2748">
        <v>0</v>
      </c>
      <c r="I38" s="2748">
        <v>0</v>
      </c>
      <c r="J38" s="2748">
        <v>0</v>
      </c>
      <c r="K38" s="2748">
        <f>SUM(K36:K37)</f>
        <v>36500</v>
      </c>
      <c r="L38" s="2749">
        <f t="shared" si="0"/>
        <v>36500</v>
      </c>
      <c r="M38" s="285">
        <f>'Výdaje kapitol celkem'!BG25</f>
        <v>36500</v>
      </c>
      <c r="N38" s="2750">
        <f>+M38-K38</f>
        <v>0</v>
      </c>
      <c r="O38" s="329"/>
    </row>
    <row r="39" spans="1:15" ht="20.25" customHeight="1" outlineLevel="1">
      <c r="A39" s="2737" t="s">
        <v>1529</v>
      </c>
      <c r="B39" s="2738">
        <v>5154</v>
      </c>
      <c r="C39" s="2739"/>
      <c r="D39" s="2740">
        <v>0</v>
      </c>
      <c r="E39" s="2740">
        <v>0</v>
      </c>
      <c r="F39" s="2740">
        <v>0</v>
      </c>
      <c r="G39" s="2740">
        <v>0</v>
      </c>
      <c r="H39" s="2740">
        <v>0</v>
      </c>
      <c r="I39" s="2740">
        <v>0</v>
      </c>
      <c r="J39" s="2740"/>
      <c r="K39" s="2740"/>
      <c r="L39" s="2741">
        <f t="shared" si="0"/>
        <v>0</v>
      </c>
      <c r="M39" s="2731"/>
      <c r="N39" s="2750"/>
      <c r="O39" s="329"/>
    </row>
    <row r="40" spans="1:15" ht="20.25" customHeight="1" outlineLevel="1">
      <c r="A40" s="2758" t="s">
        <v>1529</v>
      </c>
      <c r="B40" s="2754">
        <v>5154</v>
      </c>
      <c r="C40" s="2759"/>
      <c r="D40" s="2760">
        <v>0</v>
      </c>
      <c r="E40" s="2760">
        <v>0</v>
      </c>
      <c r="F40" s="2760">
        <v>0</v>
      </c>
      <c r="G40" s="2760">
        <v>0</v>
      </c>
      <c r="H40" s="2760">
        <v>0</v>
      </c>
      <c r="I40" s="2760">
        <v>0</v>
      </c>
      <c r="J40" s="2760"/>
      <c r="K40" s="2760"/>
      <c r="L40" s="2762">
        <f t="shared" si="0"/>
        <v>0</v>
      </c>
      <c r="M40" s="2731"/>
      <c r="N40" s="2750"/>
      <c r="O40" s="329"/>
    </row>
    <row r="41" spans="1:15" ht="20.25" customHeight="1" thickBot="1">
      <c r="A41" s="3278" t="s">
        <v>1531</v>
      </c>
      <c r="B41" s="3279"/>
      <c r="C41" s="2747"/>
      <c r="D41" s="2748">
        <v>0</v>
      </c>
      <c r="E41" s="2748">
        <v>0</v>
      </c>
      <c r="F41" s="2748">
        <v>0</v>
      </c>
      <c r="G41" s="2748">
        <v>0</v>
      </c>
      <c r="H41" s="2748">
        <v>0</v>
      </c>
      <c r="I41" s="2748">
        <v>0</v>
      </c>
      <c r="J41" s="2748">
        <v>0</v>
      </c>
      <c r="K41" s="2748">
        <f>SUM(K39:K40)</f>
        <v>0</v>
      </c>
      <c r="L41" s="2749">
        <f t="shared" si="0"/>
        <v>0</v>
      </c>
      <c r="M41" s="285"/>
      <c r="N41" s="2750">
        <f>+M41-K41</f>
        <v>0</v>
      </c>
      <c r="O41" s="329"/>
    </row>
    <row r="42" spans="1:15" ht="20.25" customHeight="1" outlineLevel="1">
      <c r="A42" s="2737">
        <v>3114</v>
      </c>
      <c r="B42" s="2738">
        <v>5154</v>
      </c>
      <c r="C42" s="2739"/>
      <c r="D42" s="2740">
        <v>195000</v>
      </c>
      <c r="E42" s="2740">
        <v>195000</v>
      </c>
      <c r="F42" s="2740">
        <v>195000</v>
      </c>
      <c r="G42" s="2740">
        <v>195000</v>
      </c>
      <c r="H42" s="2740">
        <v>195000</v>
      </c>
      <c r="I42" s="2740">
        <v>195000</v>
      </c>
      <c r="J42" s="2740">
        <v>195000</v>
      </c>
      <c r="K42" s="2740">
        <f>195000-155000</f>
        <v>40000</v>
      </c>
      <c r="L42" s="2741">
        <f t="shared" si="0"/>
        <v>-155000</v>
      </c>
      <c r="M42" s="2731"/>
      <c r="N42" s="2750"/>
      <c r="O42" s="329"/>
    </row>
    <row r="43" spans="1:15" ht="20.25" customHeight="1" outlineLevel="1">
      <c r="A43" s="2758">
        <v>3114</v>
      </c>
      <c r="B43" s="2754">
        <v>5154</v>
      </c>
      <c r="C43" s="2759"/>
      <c r="D43" s="2760">
        <v>0</v>
      </c>
      <c r="E43" s="2760">
        <v>0</v>
      </c>
      <c r="F43" s="2760">
        <v>0</v>
      </c>
      <c r="G43" s="2760">
        <v>0</v>
      </c>
      <c r="H43" s="2760">
        <v>0</v>
      </c>
      <c r="I43" s="2760">
        <v>0</v>
      </c>
      <c r="J43" s="2760">
        <v>0</v>
      </c>
      <c r="K43" s="2760">
        <v>0</v>
      </c>
      <c r="L43" s="2762">
        <f t="shared" si="0"/>
        <v>0</v>
      </c>
      <c r="M43" s="2731"/>
      <c r="N43" s="2750"/>
      <c r="O43" s="329"/>
    </row>
    <row r="44" spans="1:15" ht="20.25" customHeight="1" thickBot="1">
      <c r="A44" s="3278" t="s">
        <v>212</v>
      </c>
      <c r="B44" s="3279"/>
      <c r="C44" s="2747"/>
      <c r="D44" s="2748">
        <v>195000</v>
      </c>
      <c r="E44" s="2748">
        <v>195000</v>
      </c>
      <c r="F44" s="2748">
        <v>195000</v>
      </c>
      <c r="G44" s="2748">
        <v>195000</v>
      </c>
      <c r="H44" s="2748">
        <v>195000</v>
      </c>
      <c r="I44" s="2748">
        <v>195000</v>
      </c>
      <c r="J44" s="2748">
        <v>195000</v>
      </c>
      <c r="K44" s="2748">
        <f>SUM(K42:K43)</f>
        <v>40000</v>
      </c>
      <c r="L44" s="2749">
        <f t="shared" si="0"/>
        <v>-155000</v>
      </c>
      <c r="M44" s="2801">
        <f>'Výdaje kapitol celkem'!BM25</f>
        <v>40000</v>
      </c>
      <c r="N44" s="2802">
        <f>+M44-K44</f>
        <v>0</v>
      </c>
      <c r="O44" s="329"/>
    </row>
    <row r="45" spans="1:15" ht="20.25" customHeight="1" outlineLevel="1">
      <c r="A45" s="2737">
        <v>3631</v>
      </c>
      <c r="B45" s="2738">
        <v>5154</v>
      </c>
      <c r="C45" s="2739" t="s">
        <v>2401</v>
      </c>
      <c r="D45" s="2740">
        <v>2000000</v>
      </c>
      <c r="E45" s="2740">
        <v>2000000</v>
      </c>
      <c r="F45" s="2740">
        <v>2000000</v>
      </c>
      <c r="G45" s="2740">
        <v>2000000</v>
      </c>
      <c r="H45" s="2740">
        <v>2000000</v>
      </c>
      <c r="I45" s="2740">
        <v>2000000</v>
      </c>
      <c r="J45" s="2740">
        <v>2000000</v>
      </c>
      <c r="K45" s="2740">
        <f>+[3]VO!$B$13</f>
        <v>1270000</v>
      </c>
      <c r="L45" s="2741">
        <f t="shared" si="0"/>
        <v>-730000</v>
      </c>
      <c r="M45" s="2731"/>
      <c r="N45" s="2750"/>
      <c r="O45" s="329"/>
    </row>
    <row r="46" spans="1:15" ht="20.25" customHeight="1" outlineLevel="1">
      <c r="A46" s="2758">
        <v>3631</v>
      </c>
      <c r="B46" s="2754">
        <v>5154</v>
      </c>
      <c r="C46" s="2759" t="s">
        <v>2402</v>
      </c>
      <c r="D46" s="2760">
        <v>30000</v>
      </c>
      <c r="E46" s="2760">
        <v>30000</v>
      </c>
      <c r="F46" s="2760">
        <v>30000</v>
      </c>
      <c r="G46" s="2760">
        <v>30000</v>
      </c>
      <c r="H46" s="2760">
        <v>30000</v>
      </c>
      <c r="I46" s="2760">
        <v>30000</v>
      </c>
      <c r="J46" s="2760">
        <v>30000</v>
      </c>
      <c r="K46" s="2760">
        <f>+[3]VO!$B$14</f>
        <v>30000</v>
      </c>
      <c r="L46" s="2762">
        <f t="shared" si="0"/>
        <v>0</v>
      </c>
      <c r="M46" s="2731"/>
      <c r="N46" s="2750"/>
      <c r="O46" s="329"/>
    </row>
    <row r="47" spans="1:15" ht="20.25" customHeight="1" outlineLevel="1">
      <c r="A47" s="2758">
        <v>3631</v>
      </c>
      <c r="B47" s="2754">
        <v>5154</v>
      </c>
      <c r="C47" s="2759"/>
      <c r="D47" s="2763">
        <v>0</v>
      </c>
      <c r="E47" s="2763">
        <v>0</v>
      </c>
      <c r="F47" s="2763">
        <v>0</v>
      </c>
      <c r="G47" s="2763">
        <v>0</v>
      </c>
      <c r="H47" s="2763">
        <v>0</v>
      </c>
      <c r="I47" s="2763">
        <v>0</v>
      </c>
      <c r="J47" s="2763">
        <v>0</v>
      </c>
      <c r="K47" s="2763">
        <f>+[3]VO!$B$15</f>
        <v>0</v>
      </c>
      <c r="L47" s="2762">
        <f t="shared" si="0"/>
        <v>0</v>
      </c>
      <c r="M47" s="2731"/>
      <c r="N47" s="2750"/>
      <c r="O47" s="329"/>
    </row>
    <row r="48" spans="1:15" ht="20.25" customHeight="1" thickBot="1">
      <c r="A48" s="3278" t="s">
        <v>1165</v>
      </c>
      <c r="B48" s="3279"/>
      <c r="C48" s="2747"/>
      <c r="D48" s="2748">
        <v>2030000</v>
      </c>
      <c r="E48" s="2748">
        <v>2030000</v>
      </c>
      <c r="F48" s="2748">
        <v>2030000</v>
      </c>
      <c r="G48" s="2748">
        <v>2030000</v>
      </c>
      <c r="H48" s="2748">
        <v>2030000</v>
      </c>
      <c r="I48" s="2748">
        <v>2030000</v>
      </c>
      <c r="J48" s="2748">
        <v>2030000</v>
      </c>
      <c r="K48" s="2748">
        <f>SUM(K45:K47)</f>
        <v>1300000</v>
      </c>
      <c r="L48" s="2749">
        <f t="shared" si="0"/>
        <v>-730000</v>
      </c>
      <c r="M48" s="285">
        <f>'Výdaje kapitol celkem'!CG25</f>
        <v>1300000</v>
      </c>
      <c r="N48" s="2750">
        <f>+M48-K48</f>
        <v>0</v>
      </c>
      <c r="O48" s="329"/>
    </row>
    <row r="49" spans="1:15" ht="20.25" customHeight="1" outlineLevel="1">
      <c r="A49" s="2737">
        <v>2212</v>
      </c>
      <c r="B49" s="2738">
        <v>5154</v>
      </c>
      <c r="C49" s="2739" t="s">
        <v>2201</v>
      </c>
      <c r="D49" s="2740">
        <v>80000</v>
      </c>
      <c r="E49" s="2740">
        <v>80000</v>
      </c>
      <c r="F49" s="2740">
        <v>80000</v>
      </c>
      <c r="G49" s="2740">
        <v>80000</v>
      </c>
      <c r="H49" s="2740">
        <v>80000</v>
      </c>
      <c r="I49" s="2740">
        <v>80000</v>
      </c>
      <c r="J49" s="2740">
        <v>80000</v>
      </c>
      <c r="K49" s="2740">
        <f>+[3]Silnice!$B$12</f>
        <v>20000</v>
      </c>
      <c r="L49" s="2741">
        <f t="shared" si="0"/>
        <v>-60000</v>
      </c>
      <c r="M49" s="2731"/>
      <c r="N49" s="2750"/>
      <c r="O49" s="329"/>
    </row>
    <row r="50" spans="1:15" ht="20.25" customHeight="1" outlineLevel="1">
      <c r="A50" s="2758">
        <v>2212</v>
      </c>
      <c r="B50" s="2754">
        <v>5154</v>
      </c>
      <c r="C50" s="2759" t="s">
        <v>3022</v>
      </c>
      <c r="D50" s="2763">
        <v>100000</v>
      </c>
      <c r="E50" s="2763">
        <v>100000</v>
      </c>
      <c r="F50" s="2763">
        <v>100000</v>
      </c>
      <c r="G50" s="2763">
        <v>100000</v>
      </c>
      <c r="H50" s="2763">
        <v>100000</v>
      </c>
      <c r="I50" s="2763">
        <v>100000</v>
      </c>
      <c r="J50" s="2763">
        <v>100000</v>
      </c>
      <c r="K50" s="2763">
        <f>+[3]Silnice!$B$13</f>
        <v>10000</v>
      </c>
      <c r="L50" s="2762">
        <f t="shared" si="0"/>
        <v>-90000</v>
      </c>
      <c r="M50" s="2731"/>
      <c r="N50" s="2750"/>
      <c r="O50" s="329"/>
    </row>
    <row r="51" spans="1:15" ht="20.25" customHeight="1" outlineLevel="1">
      <c r="A51" s="2758">
        <v>2212</v>
      </c>
      <c r="B51" s="2754">
        <v>5154</v>
      </c>
      <c r="C51" s="2759" t="s">
        <v>2202</v>
      </c>
      <c r="D51" s="2763">
        <v>25000</v>
      </c>
      <c r="E51" s="2763">
        <v>25000</v>
      </c>
      <c r="F51" s="2763">
        <v>25000</v>
      </c>
      <c r="G51" s="2763">
        <v>25000</v>
      </c>
      <c r="H51" s="2763">
        <v>25000</v>
      </c>
      <c r="I51" s="2763">
        <v>25000</v>
      </c>
      <c r="J51" s="2763">
        <v>25000</v>
      </c>
      <c r="K51" s="2763">
        <f>+[3]Silnice!$B$14</f>
        <v>5000</v>
      </c>
      <c r="L51" s="2762">
        <f t="shared" si="0"/>
        <v>-20000</v>
      </c>
      <c r="M51" s="2731"/>
      <c r="N51" s="2750"/>
      <c r="O51" s="329"/>
    </row>
    <row r="52" spans="1:15" ht="20.25" customHeight="1" thickBot="1">
      <c r="A52" s="3278" t="s">
        <v>1166</v>
      </c>
      <c r="B52" s="3279"/>
      <c r="C52" s="2747"/>
      <c r="D52" s="2748">
        <v>205000</v>
      </c>
      <c r="E52" s="2748">
        <v>205000</v>
      </c>
      <c r="F52" s="2748">
        <v>205000</v>
      </c>
      <c r="G52" s="2748">
        <v>205000</v>
      </c>
      <c r="H52" s="2748">
        <v>205000</v>
      </c>
      <c r="I52" s="2748">
        <v>205000</v>
      </c>
      <c r="J52" s="2748">
        <v>205000</v>
      </c>
      <c r="K52" s="2748">
        <f>SUM(K49:K51)</f>
        <v>35000</v>
      </c>
      <c r="L52" s="2749">
        <f t="shared" si="0"/>
        <v>-170000</v>
      </c>
      <c r="M52" s="285">
        <f>'Výdaje kapitol celkem'!CJ25</f>
        <v>35000</v>
      </c>
      <c r="N52" s="2750">
        <f>+M52-K52</f>
        <v>0</v>
      </c>
      <c r="O52" s="329"/>
    </row>
    <row r="53" spans="1:15" ht="20.25" customHeight="1" outlineLevel="1">
      <c r="A53" s="2737">
        <v>2221</v>
      </c>
      <c r="B53" s="2738">
        <v>5154</v>
      </c>
      <c r="C53" s="2739" t="s">
        <v>2404</v>
      </c>
      <c r="D53" s="2740">
        <v>50000</v>
      </c>
      <c r="E53" s="2740">
        <v>50000</v>
      </c>
      <c r="F53" s="2740">
        <v>50000</v>
      </c>
      <c r="G53" s="2740">
        <v>50000</v>
      </c>
      <c r="H53" s="2740">
        <v>50000</v>
      </c>
      <c r="I53" s="2740">
        <v>50000</v>
      </c>
      <c r="J53" s="2740">
        <v>50000</v>
      </c>
      <c r="K53" s="2740">
        <f>+[4]Doprava!$B$5</f>
        <v>40000</v>
      </c>
      <c r="L53" s="2741">
        <f t="shared" si="0"/>
        <v>-10000</v>
      </c>
      <c r="M53" s="2731"/>
      <c r="N53" s="2750"/>
      <c r="O53" s="329"/>
    </row>
    <row r="54" spans="1:15" ht="20.25" customHeight="1" outlineLevel="1">
      <c r="A54" s="2758">
        <v>2221</v>
      </c>
      <c r="B54" s="2754">
        <v>5154</v>
      </c>
      <c r="C54" s="2759"/>
      <c r="D54" s="2763">
        <v>0</v>
      </c>
      <c r="E54" s="2763">
        <v>0</v>
      </c>
      <c r="F54" s="2763">
        <v>0</v>
      </c>
      <c r="G54" s="2763">
        <v>0</v>
      </c>
      <c r="H54" s="2763">
        <v>0</v>
      </c>
      <c r="I54" s="2763">
        <v>0</v>
      </c>
      <c r="J54" s="2763">
        <v>0</v>
      </c>
      <c r="K54" s="2763">
        <f>+[4]Doprava!$B$6</f>
        <v>0</v>
      </c>
      <c r="L54" s="2762">
        <f t="shared" si="0"/>
        <v>0</v>
      </c>
      <c r="M54" s="2731"/>
      <c r="N54" s="2750"/>
      <c r="O54" s="329"/>
    </row>
    <row r="55" spans="1:15" ht="20.25" customHeight="1" thickBot="1">
      <c r="A55" s="3278" t="s">
        <v>2992</v>
      </c>
      <c r="B55" s="3279"/>
      <c r="C55" s="2747"/>
      <c r="D55" s="2748">
        <v>50000</v>
      </c>
      <c r="E55" s="2748">
        <v>50000</v>
      </c>
      <c r="F55" s="2748">
        <v>50000</v>
      </c>
      <c r="G55" s="2748">
        <v>50000</v>
      </c>
      <c r="H55" s="2748">
        <v>50000</v>
      </c>
      <c r="I55" s="2748">
        <v>50000</v>
      </c>
      <c r="J55" s="2748">
        <v>50000</v>
      </c>
      <c r="K55" s="2748">
        <f>SUM(K53:K54)</f>
        <v>40000</v>
      </c>
      <c r="L55" s="2749">
        <f t="shared" si="0"/>
        <v>-10000</v>
      </c>
      <c r="M55" s="285">
        <f>'Výdaje kapitol celkem'!CM25</f>
        <v>40000</v>
      </c>
      <c r="N55" s="2750">
        <f>+M55-K55</f>
        <v>0</v>
      </c>
      <c r="O55" s="329"/>
    </row>
    <row r="56" spans="1:15" ht="20.25" customHeight="1" outlineLevel="1">
      <c r="A56" s="2737">
        <v>2310</v>
      </c>
      <c r="B56" s="2738">
        <v>5154</v>
      </c>
      <c r="C56" s="2739" t="s">
        <v>2403</v>
      </c>
      <c r="D56" s="2740">
        <v>430000</v>
      </c>
      <c r="E56" s="2740">
        <v>430000</v>
      </c>
      <c r="F56" s="2740">
        <v>430000</v>
      </c>
      <c r="G56" s="2740">
        <v>430000</v>
      </c>
      <c r="H56" s="2740">
        <v>430000</v>
      </c>
      <c r="I56" s="2740">
        <v>430000</v>
      </c>
      <c r="J56" s="2740">
        <v>430000</v>
      </c>
      <c r="K56" s="2740">
        <f>+[3]Vodovod!$B$5</f>
        <v>331000</v>
      </c>
      <c r="L56" s="2741">
        <f t="shared" si="0"/>
        <v>-99000</v>
      </c>
      <c r="M56" s="2731"/>
      <c r="N56" s="2750"/>
      <c r="O56" s="329"/>
    </row>
    <row r="57" spans="1:15" ht="20.25" customHeight="1" outlineLevel="1">
      <c r="A57" s="2758">
        <v>2310</v>
      </c>
      <c r="B57" s="2754">
        <v>5154</v>
      </c>
      <c r="C57" s="2759"/>
      <c r="D57" s="2763">
        <v>0</v>
      </c>
      <c r="E57" s="2763">
        <v>0</v>
      </c>
      <c r="F57" s="2763">
        <v>0</v>
      </c>
      <c r="G57" s="2763">
        <v>0</v>
      </c>
      <c r="H57" s="2763">
        <v>0</v>
      </c>
      <c r="I57" s="2763">
        <v>0</v>
      </c>
      <c r="J57" s="2763">
        <v>0</v>
      </c>
      <c r="K57" s="2763">
        <f>+[3]Vodovod!$B$6</f>
        <v>0</v>
      </c>
      <c r="L57" s="2762">
        <f t="shared" si="0"/>
        <v>0</v>
      </c>
      <c r="M57" s="2731"/>
      <c r="N57" s="2750"/>
      <c r="O57" s="329"/>
    </row>
    <row r="58" spans="1:15" ht="20.25" customHeight="1" thickBot="1">
      <c r="A58" s="3278" t="s">
        <v>211</v>
      </c>
      <c r="B58" s="3279"/>
      <c r="C58" s="2747"/>
      <c r="D58" s="2748">
        <v>430000</v>
      </c>
      <c r="E58" s="2748">
        <v>430000</v>
      </c>
      <c r="F58" s="2748">
        <v>430000</v>
      </c>
      <c r="G58" s="2748">
        <v>430000</v>
      </c>
      <c r="H58" s="2748">
        <v>430000</v>
      </c>
      <c r="I58" s="2748">
        <v>430000</v>
      </c>
      <c r="J58" s="2748">
        <v>430000</v>
      </c>
      <c r="K58" s="2748">
        <f>SUM(K56:K57)</f>
        <v>331000</v>
      </c>
      <c r="L58" s="2749">
        <f t="shared" si="0"/>
        <v>-99000</v>
      </c>
      <c r="M58" s="285">
        <f>'Výdaje kapitol celkem'!CN25</f>
        <v>331000</v>
      </c>
      <c r="N58" s="2750">
        <f>+M58-K58</f>
        <v>0</v>
      </c>
      <c r="O58" s="329"/>
    </row>
    <row r="59" spans="1:15" ht="20.25" customHeight="1" outlineLevel="1">
      <c r="A59" s="2737" t="s">
        <v>179</v>
      </c>
      <c r="B59" s="2738">
        <v>5154</v>
      </c>
      <c r="C59" s="2739" t="s">
        <v>2210</v>
      </c>
      <c r="D59" s="2740">
        <v>80000</v>
      </c>
      <c r="E59" s="2740">
        <v>80000</v>
      </c>
      <c r="F59" s="2740">
        <v>80000</v>
      </c>
      <c r="G59" s="2740">
        <v>80000</v>
      </c>
      <c r="H59" s="2740">
        <v>80000</v>
      </c>
      <c r="I59" s="2740">
        <v>80000</v>
      </c>
      <c r="J59" s="2740">
        <v>80000</v>
      </c>
      <c r="K59" s="2740">
        <f>+[3]Kanalizace!$B$5</f>
        <v>21000</v>
      </c>
      <c r="L59" s="2741">
        <f t="shared" si="0"/>
        <v>-59000</v>
      </c>
      <c r="M59" s="2731"/>
      <c r="N59" s="2750"/>
      <c r="O59" s="329"/>
    </row>
    <row r="60" spans="1:15" ht="20.25" customHeight="1" outlineLevel="1">
      <c r="A60" s="2758" t="s">
        <v>179</v>
      </c>
      <c r="B60" s="2754">
        <v>5154</v>
      </c>
      <c r="C60" s="2759"/>
      <c r="D60" s="2763">
        <v>0</v>
      </c>
      <c r="E60" s="2763">
        <v>0</v>
      </c>
      <c r="F60" s="2763">
        <v>0</v>
      </c>
      <c r="G60" s="2763">
        <v>0</v>
      </c>
      <c r="H60" s="2763">
        <v>0</v>
      </c>
      <c r="I60" s="2763">
        <v>0</v>
      </c>
      <c r="J60" s="2763">
        <v>0</v>
      </c>
      <c r="K60" s="2763">
        <f>+[3]Kanalizace!$B$6</f>
        <v>0</v>
      </c>
      <c r="L60" s="2762">
        <f t="shared" si="0"/>
        <v>0</v>
      </c>
      <c r="M60" s="2731"/>
      <c r="N60" s="2750"/>
      <c r="O60" s="329"/>
    </row>
    <row r="61" spans="1:15" ht="20.25" customHeight="1" outlineLevel="1">
      <c r="A61" s="2758" t="s">
        <v>179</v>
      </c>
      <c r="B61" s="2754">
        <v>5154</v>
      </c>
      <c r="C61" s="2759"/>
      <c r="D61" s="2763"/>
      <c r="E61" s="2763"/>
      <c r="F61" s="2763"/>
      <c r="G61" s="2763"/>
      <c r="H61" s="2763"/>
      <c r="I61" s="2763"/>
      <c r="J61" s="2763"/>
      <c r="K61" s="2763"/>
      <c r="L61" s="2762">
        <f t="shared" si="0"/>
        <v>0</v>
      </c>
      <c r="M61" s="2731"/>
      <c r="N61" s="2750"/>
      <c r="O61" s="329"/>
    </row>
    <row r="62" spans="1:15" ht="13.9" thickBot="1">
      <c r="A62" s="3278" t="s">
        <v>1206</v>
      </c>
      <c r="B62" s="3279"/>
      <c r="C62" s="2747"/>
      <c r="D62" s="2748">
        <v>80000</v>
      </c>
      <c r="E62" s="2748">
        <v>80000</v>
      </c>
      <c r="F62" s="2748">
        <v>80000</v>
      </c>
      <c r="G62" s="2748">
        <v>80000</v>
      </c>
      <c r="H62" s="2748">
        <v>80000</v>
      </c>
      <c r="I62" s="2748">
        <v>80000</v>
      </c>
      <c r="J62" s="2748">
        <v>80000</v>
      </c>
      <c r="K62" s="2748">
        <f>SUM(K59:K61)</f>
        <v>21000</v>
      </c>
      <c r="L62" s="2749">
        <f t="shared" si="0"/>
        <v>-59000</v>
      </c>
      <c r="M62" s="285">
        <f>'Výdaje kapitol celkem'!CT25</f>
        <v>21000</v>
      </c>
      <c r="N62" s="2750">
        <f>+M62-K62</f>
        <v>0</v>
      </c>
      <c r="O62" s="329"/>
    </row>
    <row r="63" spans="1:15" ht="20.25" customHeight="1" outlineLevel="1">
      <c r="A63" s="2737" t="s">
        <v>182</v>
      </c>
      <c r="B63" s="2738">
        <v>5154</v>
      </c>
      <c r="C63" s="2739"/>
      <c r="D63" s="2740">
        <v>0</v>
      </c>
      <c r="E63" s="2740">
        <v>0</v>
      </c>
      <c r="F63" s="2740">
        <v>0</v>
      </c>
      <c r="G63" s="2740">
        <v>0</v>
      </c>
      <c r="H63" s="2740">
        <v>0</v>
      </c>
      <c r="I63" s="2740">
        <v>0</v>
      </c>
      <c r="J63" s="2740">
        <v>0</v>
      </c>
      <c r="K63" s="2740">
        <v>0</v>
      </c>
      <c r="L63" s="2741">
        <f t="shared" si="0"/>
        <v>0</v>
      </c>
      <c r="M63" s="2731"/>
      <c r="N63" s="2750"/>
      <c r="O63" s="329"/>
    </row>
    <row r="64" spans="1:15" ht="20.25" customHeight="1" outlineLevel="1">
      <c r="A64" s="2758" t="s">
        <v>182</v>
      </c>
      <c r="B64" s="2754">
        <v>5154</v>
      </c>
      <c r="C64" s="2759"/>
      <c r="D64" s="2763"/>
      <c r="E64" s="2763"/>
      <c r="F64" s="2763"/>
      <c r="G64" s="2763"/>
      <c r="H64" s="2763"/>
      <c r="I64" s="2763"/>
      <c r="J64" s="2763"/>
      <c r="K64" s="2763"/>
      <c r="L64" s="2762">
        <f t="shared" si="0"/>
        <v>0</v>
      </c>
      <c r="M64" s="2731"/>
      <c r="N64" s="2750"/>
      <c r="O64" s="329"/>
    </row>
    <row r="65" spans="1:15" ht="20.25" customHeight="1" thickBot="1">
      <c r="A65" s="3278" t="s">
        <v>1167</v>
      </c>
      <c r="B65" s="3279"/>
      <c r="C65" s="2747"/>
      <c r="D65" s="2748">
        <v>0</v>
      </c>
      <c r="E65" s="2748">
        <v>0</v>
      </c>
      <c r="F65" s="2748">
        <v>0</v>
      </c>
      <c r="G65" s="2748">
        <v>0</v>
      </c>
      <c r="H65" s="2748">
        <v>0</v>
      </c>
      <c r="I65" s="2748">
        <v>0</v>
      </c>
      <c r="J65" s="2748">
        <v>0</v>
      </c>
      <c r="K65" s="2748">
        <f>SUM(K63:K64)</f>
        <v>0</v>
      </c>
      <c r="L65" s="2749">
        <f t="shared" si="0"/>
        <v>0</v>
      </c>
      <c r="M65" s="285">
        <f>'Výdaje kapitol celkem'!DY25</f>
        <v>0</v>
      </c>
      <c r="N65" s="2750">
        <f>+M65-K65</f>
        <v>0</v>
      </c>
      <c r="O65" s="329"/>
    </row>
    <row r="66" spans="1:15" s="281" customFormat="1" ht="16.5" thickBot="1">
      <c r="A66" s="3284" t="s">
        <v>2993</v>
      </c>
      <c r="B66" s="3285"/>
      <c r="C66" s="3285"/>
      <c r="D66" s="2803">
        <v>5656300</v>
      </c>
      <c r="E66" s="2803">
        <v>5680300</v>
      </c>
      <c r="F66" s="2803">
        <v>5680300</v>
      </c>
      <c r="G66" s="2803">
        <v>5680300</v>
      </c>
      <c r="H66" s="2803">
        <v>5680300</v>
      </c>
      <c r="I66" s="2803">
        <v>5680300</v>
      </c>
      <c r="J66" s="2803">
        <v>5680300</v>
      </c>
      <c r="K66" s="2803">
        <f>+K65+K62+K58+K55+K52+K48+K41+K38+K32+K29+K26+K23+K17+K14+K11+K8+K35+K20+K44</f>
        <v>3209500</v>
      </c>
      <c r="L66" s="2804">
        <f t="shared" si="0"/>
        <v>-2470800</v>
      </c>
      <c r="M66" s="2766"/>
      <c r="N66" s="2767"/>
      <c r="O66" s="329"/>
    </row>
    <row r="67" spans="1:15">
      <c r="A67" s="109"/>
      <c r="B67" s="109"/>
      <c r="C67" s="109"/>
      <c r="D67" s="190">
        <v>5656300</v>
      </c>
      <c r="E67" s="190">
        <v>5680300</v>
      </c>
      <c r="F67" s="190">
        <v>5680300</v>
      </c>
      <c r="G67" s="190">
        <v>5680300</v>
      </c>
      <c r="H67" s="190">
        <v>5680300</v>
      </c>
      <c r="I67" s="190">
        <v>5680300</v>
      </c>
      <c r="J67" s="190">
        <v>5680300</v>
      </c>
      <c r="K67" s="190">
        <v>3209500</v>
      </c>
      <c r="L67" s="284"/>
      <c r="M67" s="2731"/>
      <c r="N67" s="1908"/>
    </row>
    <row r="68" spans="1:15" s="323" customFormat="1">
      <c r="A68" s="180"/>
      <c r="B68" s="180"/>
      <c r="C68" s="180" t="s">
        <v>217</v>
      </c>
      <c r="D68" s="180">
        <v>0</v>
      </c>
      <c r="E68" s="180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284">
        <f>+K67-K66</f>
        <v>0</v>
      </c>
      <c r="L68" s="284"/>
      <c r="M68" s="2731"/>
      <c r="N68" s="1908"/>
    </row>
    <row r="69" spans="1:15">
      <c r="A69" s="2713" t="s">
        <v>545</v>
      </c>
      <c r="B69" s="109"/>
      <c r="C69" s="109"/>
      <c r="D69" s="109"/>
      <c r="E69" s="109"/>
      <c r="F69" s="109"/>
      <c r="G69" s="109"/>
      <c r="H69" s="109"/>
      <c r="I69" s="109"/>
      <c r="J69" s="109"/>
      <c r="K69" s="190"/>
      <c r="L69" s="284"/>
      <c r="M69" s="2731"/>
      <c r="N69" s="1908"/>
    </row>
  </sheetData>
  <sheetProtection algorithmName="SHA-512" hashValue="RxBxemhgUeIHMkPxj8OKZ7+PcEnONh12d9QBTzMYbq5UsRmVvKyfRSIcjhkBXvBAvwQ6xXNGWYwJPgyCi8ui1g==" saltValue="BW5vMZLRfQ/SAYV2t+wWL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M14"/>
  <sheetViews>
    <sheetView workbookViewId="0">
      <selection activeCell="C11" sqref="C11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9.59765625" style="316" customWidth="1"/>
    <col min="4" max="7" width="10.59765625" style="316" hidden="1" customWidth="1"/>
    <col min="8" max="8" width="0.73046875" style="316" customWidth="1"/>
    <col min="9" max="10" width="10.59765625" style="316" customWidth="1"/>
    <col min="11" max="11" width="10.59765625" style="316" bestFit="1" customWidth="1"/>
    <col min="12" max="12" width="12.265625" style="316" customWidth="1"/>
    <col min="13" max="13" width="23.73046875" style="316" customWidth="1"/>
    <col min="14" max="16384" width="9" style="316"/>
  </cols>
  <sheetData>
    <row r="1" spans="1:13" ht="16.149999999999999">
      <c r="A1" s="108" t="s">
        <v>2350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</row>
    <row r="2" spans="1:13" ht="13.5">
      <c r="A2" s="2783" t="s">
        <v>2363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spans="1:13" ht="13.9" thickBot="1">
      <c r="A3" s="278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2788" customFormat="1" ht="67.900000000000006" thickBot="1">
      <c r="A4" s="2732" t="s">
        <v>1</v>
      </c>
      <c r="B4" s="2733" t="s">
        <v>63</v>
      </c>
      <c r="C4" s="2784" t="s">
        <v>6</v>
      </c>
      <c r="D4" s="2785" t="s">
        <v>2352</v>
      </c>
      <c r="E4" s="2785" t="s">
        <v>1934</v>
      </c>
      <c r="F4" s="2785" t="s">
        <v>2644</v>
      </c>
      <c r="G4" s="2785" t="s">
        <v>2766</v>
      </c>
      <c r="H4" s="2785" t="s">
        <v>2107</v>
      </c>
      <c r="I4" s="2785" t="s">
        <v>2830</v>
      </c>
      <c r="J4" s="2785" t="s">
        <v>2855</v>
      </c>
      <c r="K4" s="2785" t="s">
        <v>2923</v>
      </c>
      <c r="L4" s="2786" t="s">
        <v>5</v>
      </c>
      <c r="M4" s="2787" t="s">
        <v>548</v>
      </c>
    </row>
    <row r="5" spans="1:13" s="2481" customFormat="1">
      <c r="A5" s="2789">
        <v>6310</v>
      </c>
      <c r="B5" s="2790">
        <v>5141</v>
      </c>
      <c r="C5" s="2791" t="s">
        <v>2364</v>
      </c>
      <c r="D5" s="2792">
        <v>0</v>
      </c>
      <c r="E5" s="2792">
        <v>0</v>
      </c>
      <c r="F5" s="2792">
        <v>0</v>
      </c>
      <c r="G5" s="2792">
        <v>0</v>
      </c>
      <c r="H5" s="2792">
        <v>0</v>
      </c>
      <c r="I5" s="2792">
        <v>0</v>
      </c>
      <c r="J5" s="2792">
        <v>0</v>
      </c>
      <c r="K5" s="2792">
        <v>0</v>
      </c>
      <c r="L5" s="2793">
        <f>+K5-J5</f>
        <v>0</v>
      </c>
      <c r="M5" s="2787"/>
    </row>
    <row r="6" spans="1:13">
      <c r="A6" s="2742">
        <v>6310</v>
      </c>
      <c r="B6" s="2743">
        <v>5141</v>
      </c>
      <c r="C6" s="2772" t="s">
        <v>2365</v>
      </c>
      <c r="D6" s="2794">
        <v>454401.98510000017</v>
      </c>
      <c r="E6" s="2794">
        <v>454401.98510000017</v>
      </c>
      <c r="F6" s="2794">
        <v>454401.98510000017</v>
      </c>
      <c r="G6" s="2794">
        <v>454401.98510000017</v>
      </c>
      <c r="H6" s="2794">
        <v>454401.98510000017</v>
      </c>
      <c r="I6" s="2794">
        <v>454401.98510000017</v>
      </c>
      <c r="J6" s="2794">
        <v>454401.98510000017</v>
      </c>
      <c r="K6" s="2794">
        <v>454401.98510000017</v>
      </c>
      <c r="L6" s="2795">
        <f t="shared" ref="L6:L11" si="0">+K6-J6</f>
        <v>0</v>
      </c>
      <c r="M6" s="2126"/>
    </row>
    <row r="7" spans="1:13">
      <c r="A7" s="2742">
        <v>6310</v>
      </c>
      <c r="B7" s="2743">
        <v>5141</v>
      </c>
      <c r="C7" s="2772" t="s">
        <v>2994</v>
      </c>
      <c r="D7" s="2794">
        <v>477508.68</v>
      </c>
      <c r="E7" s="2794">
        <v>477508.68</v>
      </c>
      <c r="F7" s="2794">
        <v>477508.68</v>
      </c>
      <c r="G7" s="2794">
        <v>477508.68</v>
      </c>
      <c r="H7" s="2794">
        <v>477508.68</v>
      </c>
      <c r="I7" s="2794">
        <v>477508.68</v>
      </c>
      <c r="J7" s="2794">
        <v>477508.68</v>
      </c>
      <c r="K7" s="2794">
        <v>477508.68</v>
      </c>
      <c r="L7" s="2795">
        <f t="shared" si="0"/>
        <v>0</v>
      </c>
      <c r="M7" s="2731"/>
    </row>
    <row r="8" spans="1:13" ht="26.25">
      <c r="A8" s="2742">
        <v>6310</v>
      </c>
      <c r="B8" s="2743">
        <v>5141</v>
      </c>
      <c r="C8" s="2772" t="s">
        <v>2996</v>
      </c>
      <c r="D8" s="2794">
        <v>748461.43799999997</v>
      </c>
      <c r="E8" s="2794">
        <v>748461.43799999997</v>
      </c>
      <c r="F8" s="2794">
        <v>748461.43799999997</v>
      </c>
      <c r="G8" s="2794">
        <v>748461.43799999997</v>
      </c>
      <c r="H8" s="2794">
        <v>748461.43799999997</v>
      </c>
      <c r="I8" s="2794">
        <v>748461.43799999997</v>
      </c>
      <c r="J8" s="2794">
        <v>748461.43799999997</v>
      </c>
      <c r="K8" s="2794">
        <v>748461.43799999997</v>
      </c>
      <c r="L8" s="2795">
        <f t="shared" si="0"/>
        <v>0</v>
      </c>
      <c r="M8" s="109"/>
    </row>
    <row r="9" spans="1:13">
      <c r="A9" s="2742">
        <v>6310</v>
      </c>
      <c r="B9" s="2743">
        <v>5141</v>
      </c>
      <c r="C9" s="2772" t="s">
        <v>2997</v>
      </c>
      <c r="D9" s="2794">
        <v>647385.82860000001</v>
      </c>
      <c r="E9" s="2794">
        <v>647385.82860000001</v>
      </c>
      <c r="F9" s="2794">
        <v>647385.82860000001</v>
      </c>
      <c r="G9" s="2794">
        <v>647385.82860000001</v>
      </c>
      <c r="H9" s="2794">
        <v>647385.82860000001</v>
      </c>
      <c r="I9" s="2794">
        <v>647385.82860000001</v>
      </c>
      <c r="J9" s="2794">
        <v>637483.73334399913</v>
      </c>
      <c r="K9" s="2794">
        <v>637483.73334399913</v>
      </c>
      <c r="L9" s="2795">
        <f t="shared" si="0"/>
        <v>0</v>
      </c>
      <c r="M9" s="109"/>
    </row>
    <row r="10" spans="1:13">
      <c r="A10" s="2753">
        <v>6310</v>
      </c>
      <c r="B10" s="2754">
        <v>5141</v>
      </c>
      <c r="C10" s="2774" t="s">
        <v>2995</v>
      </c>
      <c r="D10" s="2796">
        <v>0</v>
      </c>
      <c r="E10" s="2796">
        <v>0</v>
      </c>
      <c r="F10" s="2796">
        <v>0</v>
      </c>
      <c r="G10" s="2796">
        <v>0</v>
      </c>
      <c r="H10" s="2796">
        <v>0</v>
      </c>
      <c r="I10" s="2796">
        <v>0</v>
      </c>
      <c r="J10" s="2796">
        <v>147902.18</v>
      </c>
      <c r="K10" s="2796">
        <f>147902.18+120242</f>
        <v>268144.18</v>
      </c>
      <c r="L10" s="2797">
        <f t="shared" si="0"/>
        <v>120242</v>
      </c>
      <c r="M10" s="109"/>
    </row>
    <row r="11" spans="1:13" ht="19.5" customHeight="1" thickBot="1">
      <c r="A11" s="3286" t="s">
        <v>2366</v>
      </c>
      <c r="B11" s="3287"/>
      <c r="C11" s="2798"/>
      <c r="D11" s="2799">
        <v>2327757.9317000001</v>
      </c>
      <c r="E11" s="2799">
        <v>2327757.9317000001</v>
      </c>
      <c r="F11" s="2799">
        <v>2327757.9317000001</v>
      </c>
      <c r="G11" s="2799">
        <v>2327757.9317000001</v>
      </c>
      <c r="H11" s="2799">
        <v>2327757.9317000001</v>
      </c>
      <c r="I11" s="2799">
        <v>2327757.9317000001</v>
      </c>
      <c r="J11" s="2799">
        <v>2465758.016443999</v>
      </c>
      <c r="K11" s="2799">
        <f>SUM(K5:K10)</f>
        <v>2586000.016443999</v>
      </c>
      <c r="L11" s="2800">
        <f t="shared" si="0"/>
        <v>120242</v>
      </c>
      <c r="M11" s="109"/>
    </row>
    <row r="12" spans="1:13">
      <c r="A12" s="109"/>
      <c r="B12" s="109"/>
      <c r="C12" s="109"/>
      <c r="D12" s="190">
        <v>2327757.9317000001</v>
      </c>
      <c r="E12" s="190">
        <v>2327757.9317000001</v>
      </c>
      <c r="F12" s="190">
        <v>2327757.9317000001</v>
      </c>
      <c r="G12" s="190">
        <v>2327757.9317000001</v>
      </c>
      <c r="H12" s="190">
        <v>2327757.9317000001</v>
      </c>
      <c r="I12" s="190">
        <v>2327757.9317000001</v>
      </c>
      <c r="J12" s="190">
        <v>2465758.016443999</v>
      </c>
      <c r="K12" s="190">
        <f>+'Výdaje kapitol celkem'!K55</f>
        <v>2586000.016443999</v>
      </c>
      <c r="L12" s="109"/>
      <c r="M12" s="109"/>
    </row>
    <row r="13" spans="1:13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284">
        <v>0</v>
      </c>
      <c r="K13" s="284">
        <f>+K12-K11</f>
        <v>0</v>
      </c>
      <c r="L13" s="180"/>
      <c r="M13" s="180"/>
    </row>
    <row r="14" spans="1:13" s="323" customFormat="1">
      <c r="A14" s="2713" t="s">
        <v>545</v>
      </c>
      <c r="B14" s="180"/>
      <c r="C14" s="180"/>
      <c r="D14" s="284"/>
      <c r="E14" s="284"/>
      <c r="F14" s="284"/>
      <c r="G14" s="284"/>
      <c r="H14" s="284"/>
      <c r="I14" s="284"/>
      <c r="J14" s="284"/>
      <c r="K14" s="284"/>
      <c r="L14" s="180"/>
      <c r="M14" s="180"/>
    </row>
  </sheetData>
  <sheetProtection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O18"/>
  <sheetViews>
    <sheetView topLeftCell="A8" workbookViewId="0">
      <selection activeCell="M12" sqref="M12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4" width="16.86328125" style="316" hidden="1" customWidth="1"/>
    <col min="5" max="8" width="13.265625" style="316" hidden="1" customWidth="1"/>
    <col min="9" max="10" width="13.265625" style="316" customWidth="1"/>
    <col min="11" max="11" width="13.265625" style="318" bestFit="1" customWidth="1"/>
    <col min="12" max="12" width="10.86328125" style="319" customWidth="1"/>
    <col min="13" max="13" width="11.73046875" style="2768" bestFit="1" customWidth="1"/>
    <col min="14" max="14" width="10.59765625" style="2769" bestFit="1" customWidth="1"/>
    <col min="15" max="16384" width="9" style="316"/>
  </cols>
  <sheetData>
    <row r="1" spans="1:15" s="2725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20.25" customHeight="1">
      <c r="A2" s="3280" t="s">
        <v>2354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70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/>
      <c r="N4" s="1908" t="s">
        <v>707</v>
      </c>
    </row>
    <row r="5" spans="1:15" ht="15.75" customHeight="1" outlineLevel="1">
      <c r="A5" s="2737"/>
      <c r="B5" s="2738" t="s">
        <v>164</v>
      </c>
      <c r="C5" s="2771" t="s">
        <v>83</v>
      </c>
      <c r="D5" s="2740">
        <v>80000</v>
      </c>
      <c r="E5" s="2740">
        <v>80000</v>
      </c>
      <c r="F5" s="2740">
        <v>80000</v>
      </c>
      <c r="G5" s="2740">
        <v>80000</v>
      </c>
      <c r="H5" s="2740">
        <v>80000</v>
      </c>
      <c r="I5" s="2740">
        <v>80000</v>
      </c>
      <c r="J5" s="2740">
        <v>80000</v>
      </c>
      <c r="K5" s="2740">
        <v>80000</v>
      </c>
      <c r="L5" s="2741">
        <f>+K5-J5</f>
        <v>0</v>
      </c>
      <c r="M5" s="2731"/>
      <c r="N5" s="1908"/>
    </row>
    <row r="6" spans="1:15" ht="15.75" customHeight="1" outlineLevel="1">
      <c r="A6" s="2742"/>
      <c r="B6" s="2743">
        <v>6310</v>
      </c>
      <c r="C6" s="2772"/>
      <c r="D6" s="2745">
        <v>0</v>
      </c>
      <c r="E6" s="2745">
        <v>0</v>
      </c>
      <c r="F6" s="2745">
        <v>0</v>
      </c>
      <c r="G6" s="2745">
        <v>0</v>
      </c>
      <c r="H6" s="2745">
        <v>0</v>
      </c>
      <c r="I6" s="2745">
        <v>0</v>
      </c>
      <c r="J6" s="2745">
        <v>0</v>
      </c>
      <c r="K6" s="2745">
        <v>35000</v>
      </c>
      <c r="L6" s="2746">
        <f t="shared" ref="L6:L15" si="0">+K6-J6</f>
        <v>35000</v>
      </c>
      <c r="M6" s="2731"/>
      <c r="N6" s="1908"/>
    </row>
    <row r="7" spans="1:15" ht="15.75" hidden="1" customHeight="1" outlineLevel="1">
      <c r="A7" s="2742"/>
      <c r="B7" s="2743"/>
      <c r="C7" s="2772"/>
      <c r="D7" s="2745"/>
      <c r="E7" s="2745"/>
      <c r="F7" s="2745"/>
      <c r="G7" s="2745"/>
      <c r="H7" s="2745"/>
      <c r="I7" s="2745"/>
      <c r="J7" s="2745"/>
      <c r="K7" s="2745"/>
      <c r="L7" s="2746">
        <f t="shared" si="0"/>
        <v>0</v>
      </c>
      <c r="M7" s="2731"/>
      <c r="N7" s="1908"/>
    </row>
    <row r="8" spans="1:15" s="432" customFormat="1" ht="16.5" customHeight="1" thickBot="1">
      <c r="A8" s="3289" t="s">
        <v>7</v>
      </c>
      <c r="B8" s="3290"/>
      <c r="C8" s="2773"/>
      <c r="D8" s="2748">
        <v>80000</v>
      </c>
      <c r="E8" s="2748">
        <v>80000</v>
      </c>
      <c r="F8" s="2748">
        <v>80000</v>
      </c>
      <c r="G8" s="2748">
        <v>80000</v>
      </c>
      <c r="H8" s="2748">
        <v>80000</v>
      </c>
      <c r="I8" s="2748">
        <v>80000</v>
      </c>
      <c r="J8" s="2748">
        <v>80000</v>
      </c>
      <c r="K8" s="2748">
        <f>SUM(K5:K7)</f>
        <v>115000</v>
      </c>
      <c r="L8" s="2749">
        <f t="shared" si="0"/>
        <v>35000</v>
      </c>
      <c r="M8" s="285">
        <f>+'Výdaje kapitol celkem'!L29</f>
        <v>115000</v>
      </c>
      <c r="N8" s="2750">
        <f>+M8-K8</f>
        <v>0</v>
      </c>
      <c r="O8" s="329"/>
    </row>
    <row r="9" spans="1:15" ht="15.75" customHeight="1" outlineLevel="1">
      <c r="A9" s="2737">
        <v>6409</v>
      </c>
      <c r="B9" s="2738">
        <v>5163</v>
      </c>
      <c r="C9" s="2771" t="s">
        <v>2357</v>
      </c>
      <c r="D9" s="2740">
        <v>670000</v>
      </c>
      <c r="E9" s="2740">
        <v>670000</v>
      </c>
      <c r="F9" s="2740">
        <v>735912</v>
      </c>
      <c r="G9" s="2740">
        <v>735912</v>
      </c>
      <c r="H9" s="2740">
        <v>735912</v>
      </c>
      <c r="I9" s="2740">
        <v>735912</v>
      </c>
      <c r="J9" s="2740">
        <v>735912</v>
      </c>
      <c r="K9" s="2740">
        <f>+'[3]Všeob. pokladna'!$B$5</f>
        <v>735912</v>
      </c>
      <c r="L9" s="2741">
        <f t="shared" si="0"/>
        <v>0</v>
      </c>
      <c r="M9" s="2731"/>
      <c r="N9" s="2750"/>
      <c r="O9" s="329"/>
    </row>
    <row r="10" spans="1:15" ht="15.75" customHeight="1" outlineLevel="1">
      <c r="A10" s="2742">
        <v>6409</v>
      </c>
      <c r="B10" s="2743">
        <v>5163</v>
      </c>
      <c r="C10" s="2772" t="s">
        <v>2358</v>
      </c>
      <c r="D10" s="2745">
        <v>440000</v>
      </c>
      <c r="E10" s="2745">
        <v>440000</v>
      </c>
      <c r="F10" s="2745">
        <v>462078</v>
      </c>
      <c r="G10" s="2745">
        <v>462078</v>
      </c>
      <c r="H10" s="2745">
        <v>462078</v>
      </c>
      <c r="I10" s="2745">
        <v>462078</v>
      </c>
      <c r="J10" s="2745">
        <v>462078</v>
      </c>
      <c r="K10" s="2745">
        <f>+'[3]Všeob. pokladna'!$B$6</f>
        <v>564088</v>
      </c>
      <c r="L10" s="2751">
        <f t="shared" si="0"/>
        <v>102010</v>
      </c>
      <c r="M10" s="2731"/>
      <c r="N10" s="2750"/>
      <c r="O10" s="329"/>
    </row>
    <row r="11" spans="1:15" s="432" customFormat="1" ht="16.5" customHeight="1" thickBot="1">
      <c r="A11" s="3289" t="s">
        <v>2356</v>
      </c>
      <c r="B11" s="3290"/>
      <c r="C11" s="2773"/>
      <c r="D11" s="2748">
        <v>1110000</v>
      </c>
      <c r="E11" s="2748">
        <v>1110000</v>
      </c>
      <c r="F11" s="2748">
        <v>1197990</v>
      </c>
      <c r="G11" s="2748">
        <v>1197990</v>
      </c>
      <c r="H11" s="2748">
        <v>1197990</v>
      </c>
      <c r="I11" s="2748">
        <v>1197990</v>
      </c>
      <c r="J11" s="2748">
        <v>1197990</v>
      </c>
      <c r="K11" s="2748">
        <f>SUM(K9:K10)</f>
        <v>1300000</v>
      </c>
      <c r="L11" s="2749">
        <f t="shared" si="0"/>
        <v>102010</v>
      </c>
      <c r="M11" s="285">
        <f>+'Výdaje kapitol celkem'!P29</f>
        <v>1300000</v>
      </c>
      <c r="N11" s="2750">
        <f>+M11-K11</f>
        <v>0</v>
      </c>
      <c r="O11" s="329"/>
    </row>
    <row r="12" spans="1:15" ht="20.25" customHeight="1" outlineLevel="1">
      <c r="A12" s="2742">
        <v>5512</v>
      </c>
      <c r="B12" s="2743">
        <v>5163</v>
      </c>
      <c r="C12" s="2772"/>
      <c r="D12" s="2745">
        <v>30000</v>
      </c>
      <c r="E12" s="2745">
        <v>30000</v>
      </c>
      <c r="F12" s="2745">
        <v>30000</v>
      </c>
      <c r="G12" s="2745">
        <v>30000</v>
      </c>
      <c r="H12" s="2745">
        <v>30000</v>
      </c>
      <c r="I12" s="2745">
        <v>30000</v>
      </c>
      <c r="J12" s="2745">
        <v>30000</v>
      </c>
      <c r="K12" s="2745">
        <f>+[2]Hasiči!$B$41</f>
        <v>0</v>
      </c>
      <c r="L12" s="2751">
        <f t="shared" si="0"/>
        <v>-30000</v>
      </c>
      <c r="M12" s="2731"/>
      <c r="N12" s="2750"/>
      <c r="O12" s="329"/>
    </row>
    <row r="13" spans="1:15" ht="20.25" customHeight="1" outlineLevel="1">
      <c r="A13" s="2742">
        <v>5512</v>
      </c>
      <c r="B13" s="2743">
        <v>5163</v>
      </c>
      <c r="C13" s="2772"/>
      <c r="D13" s="2745">
        <v>0</v>
      </c>
      <c r="E13" s="2745">
        <v>0</v>
      </c>
      <c r="F13" s="2745">
        <v>0</v>
      </c>
      <c r="G13" s="2745">
        <v>0</v>
      </c>
      <c r="H13" s="2745">
        <v>0</v>
      </c>
      <c r="I13" s="2745">
        <v>0</v>
      </c>
      <c r="J13" s="2745">
        <v>0</v>
      </c>
      <c r="K13" s="2745">
        <f>+[2]Hasiči!$B$42</f>
        <v>0</v>
      </c>
      <c r="L13" s="2751">
        <f t="shared" si="0"/>
        <v>0</v>
      </c>
      <c r="M13" s="2731"/>
      <c r="N13" s="2750"/>
      <c r="O13" s="329"/>
    </row>
    <row r="14" spans="1:15" ht="20.25" customHeight="1" thickBot="1">
      <c r="A14" s="3289" t="s">
        <v>203</v>
      </c>
      <c r="B14" s="3290"/>
      <c r="C14" s="2773"/>
      <c r="D14" s="2748">
        <v>30000</v>
      </c>
      <c r="E14" s="2748">
        <v>30000</v>
      </c>
      <c r="F14" s="2748">
        <v>30000</v>
      </c>
      <c r="G14" s="2748">
        <v>30000</v>
      </c>
      <c r="H14" s="2748">
        <v>30000</v>
      </c>
      <c r="I14" s="2748">
        <v>30000</v>
      </c>
      <c r="J14" s="2748">
        <v>30000</v>
      </c>
      <c r="K14" s="2748">
        <f>SUM(K12:K13)</f>
        <v>0</v>
      </c>
      <c r="L14" s="2749">
        <f t="shared" si="0"/>
        <v>-30000</v>
      </c>
      <c r="M14" s="285">
        <f>+'Výdaje kapitol celkem'!AR29</f>
        <v>0</v>
      </c>
      <c r="N14" s="2750">
        <f>+M14-K14</f>
        <v>0</v>
      </c>
      <c r="O14" s="329"/>
    </row>
    <row r="15" spans="1:15" s="281" customFormat="1" ht="16.5" thickBot="1">
      <c r="A15" s="3284" t="s">
        <v>2355</v>
      </c>
      <c r="B15" s="3285"/>
      <c r="C15" s="3288"/>
      <c r="D15" s="2803">
        <v>1220000</v>
      </c>
      <c r="E15" s="2803">
        <v>1220000</v>
      </c>
      <c r="F15" s="2803">
        <v>1307990</v>
      </c>
      <c r="G15" s="2803">
        <v>1307990</v>
      </c>
      <c r="H15" s="2803">
        <v>1307990</v>
      </c>
      <c r="I15" s="2803">
        <v>1307990</v>
      </c>
      <c r="J15" s="2803">
        <v>1307990</v>
      </c>
      <c r="K15" s="2803">
        <f>+K8+K11+K14</f>
        <v>1415000</v>
      </c>
      <c r="L15" s="2804">
        <f t="shared" si="0"/>
        <v>107010</v>
      </c>
      <c r="M15" s="2766"/>
      <c r="N15" s="2767"/>
      <c r="O15" s="329"/>
    </row>
    <row r="16" spans="1:15">
      <c r="A16" s="109"/>
      <c r="B16" s="109"/>
      <c r="C16" s="109"/>
      <c r="D16" s="190">
        <v>1220000</v>
      </c>
      <c r="E16" s="190">
        <v>1220000</v>
      </c>
      <c r="F16" s="190">
        <v>1307990</v>
      </c>
      <c r="G16" s="190">
        <v>1307990</v>
      </c>
      <c r="H16" s="190">
        <v>1307990</v>
      </c>
      <c r="I16" s="190">
        <v>1307990</v>
      </c>
      <c r="J16" s="190">
        <v>1307990</v>
      </c>
      <c r="K16" s="190">
        <f>+'Výdaje kapitol celkem'!K29</f>
        <v>1415000</v>
      </c>
      <c r="L16" s="284"/>
      <c r="M16" s="2731"/>
      <c r="N16" s="1908"/>
    </row>
    <row r="17" spans="1:14" s="323" customFormat="1">
      <c r="A17" s="180"/>
      <c r="B17" s="180"/>
      <c r="C17" s="180" t="s">
        <v>217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284">
        <f>+K16-K15</f>
        <v>0</v>
      </c>
      <c r="L17" s="284"/>
      <c r="M17" s="2731"/>
      <c r="N17" s="1908"/>
    </row>
    <row r="18" spans="1:14">
      <c r="A18" s="2713" t="s">
        <v>545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90"/>
      <c r="L18" s="284"/>
      <c r="M18" s="2731"/>
      <c r="N18" s="1908"/>
    </row>
  </sheetData>
  <sheetProtection algorithmName="SHA-512" hashValue="4qWM3eqm9mWXubvrRW9UmCy+6S8zteRuh75Di+03bput+fdrKj3OGOo1efyb7uefkq84ScReqSNLoxb3RW2WIw==" saltValue="N5ttpHRF+mXdycfED4T/Fw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66"/>
  <sheetViews>
    <sheetView topLeftCell="A52" workbookViewId="0">
      <selection activeCell="C45" sqref="C45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40" style="316" customWidth="1"/>
    <col min="4" max="4" width="14.265625" style="316" hidden="1" customWidth="1"/>
    <col min="5" max="8" width="10" style="316" hidden="1" customWidth="1"/>
    <col min="9" max="10" width="10" style="316" customWidth="1"/>
    <col min="11" max="11" width="11" style="318" bestFit="1" customWidth="1"/>
    <col min="12" max="12" width="10" style="319" customWidth="1"/>
    <col min="13" max="13" width="9.265625" style="2836" bestFit="1" customWidth="1"/>
    <col min="14" max="14" width="10" style="2769" bestFit="1" customWidth="1"/>
    <col min="15" max="16384" width="9" style="316"/>
  </cols>
  <sheetData>
    <row r="1" spans="1:15" s="2725" customFormat="1" ht="25.5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805"/>
      <c r="N1" s="2724"/>
    </row>
    <row r="2" spans="1:15" s="2730" customFormat="1" ht="25.5" customHeight="1">
      <c r="A2" s="3280" t="s">
        <v>712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806"/>
      <c r="N2" s="2729"/>
    </row>
    <row r="3" spans="1:15" ht="25.5" customHeight="1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807"/>
      <c r="N3" s="1908"/>
    </row>
    <row r="4" spans="1:15" ht="24.4" thickBot="1">
      <c r="A4" s="2808" t="s">
        <v>1</v>
      </c>
      <c r="B4" s="2809" t="s">
        <v>63</v>
      </c>
      <c r="C4" s="2810" t="s">
        <v>6</v>
      </c>
      <c r="D4" s="2811" t="s">
        <v>2352</v>
      </c>
      <c r="E4" s="2811" t="s">
        <v>1934</v>
      </c>
      <c r="F4" s="2811" t="s">
        <v>2644</v>
      </c>
      <c r="G4" s="2811" t="s">
        <v>2766</v>
      </c>
      <c r="H4" s="2811" t="s">
        <v>2107</v>
      </c>
      <c r="I4" s="2811" t="s">
        <v>2830</v>
      </c>
      <c r="J4" s="2811" t="s">
        <v>2855</v>
      </c>
      <c r="K4" s="2811" t="s">
        <v>2923</v>
      </c>
      <c r="L4" s="2812" t="s">
        <v>5</v>
      </c>
      <c r="M4" s="2807" t="s">
        <v>762</v>
      </c>
      <c r="N4" s="1908" t="s">
        <v>707</v>
      </c>
    </row>
    <row r="5" spans="1:15" ht="15" customHeight="1" outlineLevel="1">
      <c r="A5" s="2813">
        <v>6409</v>
      </c>
      <c r="B5" s="2814">
        <v>5164</v>
      </c>
      <c r="C5" s="2815" t="s">
        <v>1683</v>
      </c>
      <c r="D5" s="2816"/>
      <c r="E5" s="2816"/>
      <c r="F5" s="2816"/>
      <c r="G5" s="2816"/>
      <c r="H5" s="2816"/>
      <c r="I5" s="2816"/>
      <c r="J5" s="2816"/>
      <c r="K5" s="2816"/>
      <c r="L5" s="2817">
        <f>+K5-J5</f>
        <v>0</v>
      </c>
      <c r="M5" s="2807"/>
      <c r="N5" s="1908"/>
    </row>
    <row r="6" spans="1:15" ht="15" customHeight="1" outlineLevel="1">
      <c r="A6" s="2818">
        <v>6409</v>
      </c>
      <c r="B6" s="2819">
        <f>+B5</f>
        <v>5164</v>
      </c>
      <c r="C6" s="2820" t="s">
        <v>2569</v>
      </c>
      <c r="D6" s="2821">
        <v>7000</v>
      </c>
      <c r="E6" s="2821">
        <v>7000</v>
      </c>
      <c r="F6" s="2821">
        <v>7000</v>
      </c>
      <c r="G6" s="2821">
        <v>7000</v>
      </c>
      <c r="H6" s="2821">
        <v>7000</v>
      </c>
      <c r="I6" s="2821">
        <v>7000</v>
      </c>
      <c r="J6" s="2821">
        <v>7000</v>
      </c>
      <c r="K6" s="2821">
        <f>+'[3]Všeob. pokladna'!$B$12</f>
        <v>100</v>
      </c>
      <c r="L6" s="2822">
        <f t="shared" ref="L6:L62" si="0">+K6-J6</f>
        <v>-6900</v>
      </c>
      <c r="M6" s="2807"/>
      <c r="N6" s="1908"/>
    </row>
    <row r="7" spans="1:15" s="432" customFormat="1" ht="15" customHeight="1" thickBot="1">
      <c r="A7" s="3294" t="s">
        <v>1207</v>
      </c>
      <c r="B7" s="3295"/>
      <c r="C7" s="2823"/>
      <c r="D7" s="2824">
        <v>7000</v>
      </c>
      <c r="E7" s="2824">
        <v>7000</v>
      </c>
      <c r="F7" s="2824">
        <v>7000</v>
      </c>
      <c r="G7" s="2824">
        <v>7000</v>
      </c>
      <c r="H7" s="2824">
        <v>7000</v>
      </c>
      <c r="I7" s="2824">
        <v>7000</v>
      </c>
      <c r="J7" s="2824">
        <v>7000</v>
      </c>
      <c r="K7" s="2824">
        <f t="shared" ref="K7" si="1">SUM(K5:K6)</f>
        <v>100</v>
      </c>
      <c r="L7" s="2825">
        <f t="shared" si="0"/>
        <v>-6900</v>
      </c>
      <c r="M7" s="2826">
        <f>'Výdaje kapitol celkem'!P30</f>
        <v>100</v>
      </c>
      <c r="N7" s="2750">
        <f>+M7-K7</f>
        <v>0</v>
      </c>
      <c r="O7" s="329"/>
    </row>
    <row r="8" spans="1:15" ht="15" customHeight="1" outlineLevel="1">
      <c r="A8" s="2813">
        <v>6112</v>
      </c>
      <c r="B8" s="2814">
        <f>+B31</f>
        <v>5164</v>
      </c>
      <c r="C8" s="2815" t="s">
        <v>2338</v>
      </c>
      <c r="D8" s="2816">
        <v>17000</v>
      </c>
      <c r="E8" s="2816">
        <v>17000</v>
      </c>
      <c r="F8" s="2816">
        <v>17000</v>
      </c>
      <c r="G8" s="2816">
        <v>17000</v>
      </c>
      <c r="H8" s="2816">
        <v>17000</v>
      </c>
      <c r="I8" s="2816">
        <v>17000</v>
      </c>
      <c r="J8" s="2816">
        <v>17000</v>
      </c>
      <c r="K8" s="2816">
        <f>+[2]Zastupitelé!$B$38</f>
        <v>0</v>
      </c>
      <c r="L8" s="2817">
        <f t="shared" si="0"/>
        <v>-17000</v>
      </c>
      <c r="M8" s="2807"/>
      <c r="N8" s="2750"/>
    </row>
    <row r="9" spans="1:15" ht="15" customHeight="1" outlineLevel="1">
      <c r="A9" s="2818">
        <v>6112</v>
      </c>
      <c r="B9" s="2819">
        <f>+B8</f>
        <v>5164</v>
      </c>
      <c r="C9" s="2820"/>
      <c r="D9" s="2821">
        <v>0</v>
      </c>
      <c r="E9" s="2821">
        <v>0</v>
      </c>
      <c r="F9" s="2821">
        <v>0</v>
      </c>
      <c r="G9" s="2821">
        <v>0</v>
      </c>
      <c r="H9" s="2821">
        <v>0</v>
      </c>
      <c r="I9" s="2821">
        <v>0</v>
      </c>
      <c r="J9" s="2821">
        <v>0</v>
      </c>
      <c r="K9" s="2821">
        <f>+[2]Zastupitelé!$B$39</f>
        <v>0</v>
      </c>
      <c r="L9" s="2822">
        <f t="shared" si="0"/>
        <v>0</v>
      </c>
      <c r="M9" s="2807"/>
      <c r="N9" s="2750"/>
    </row>
    <row r="10" spans="1:15" s="432" customFormat="1" ht="15" customHeight="1" thickBot="1">
      <c r="A10" s="3294" t="s">
        <v>1196</v>
      </c>
      <c r="B10" s="3295"/>
      <c r="C10" s="2823"/>
      <c r="D10" s="2824">
        <v>17000</v>
      </c>
      <c r="E10" s="2824">
        <v>17000</v>
      </c>
      <c r="F10" s="2824">
        <v>17000</v>
      </c>
      <c r="G10" s="2824">
        <v>17000</v>
      </c>
      <c r="H10" s="2824">
        <v>17000</v>
      </c>
      <c r="I10" s="2824">
        <v>17000</v>
      </c>
      <c r="J10" s="2824">
        <v>17000</v>
      </c>
      <c r="K10" s="2824">
        <f t="shared" ref="K10" si="2">SUM(K8:K9)</f>
        <v>0</v>
      </c>
      <c r="L10" s="2825">
        <f t="shared" si="0"/>
        <v>-17000</v>
      </c>
      <c r="M10" s="2826">
        <f>'Výdaje kapitol celkem'!R30</f>
        <v>0</v>
      </c>
      <c r="N10" s="2750">
        <f>+M10-K10</f>
        <v>0</v>
      </c>
      <c r="O10" s="329"/>
    </row>
    <row r="11" spans="1:15" ht="15" customHeight="1" outlineLevel="1">
      <c r="A11" s="2813">
        <v>3314</v>
      </c>
      <c r="B11" s="2814">
        <f>+B30</f>
        <v>5164</v>
      </c>
      <c r="C11" s="2815"/>
      <c r="D11" s="2816">
        <v>192000</v>
      </c>
      <c r="E11" s="2816">
        <v>192000</v>
      </c>
      <c r="F11" s="2816">
        <v>192000</v>
      </c>
      <c r="G11" s="2816">
        <v>192000</v>
      </c>
      <c r="H11" s="2816">
        <v>192000</v>
      </c>
      <c r="I11" s="2816">
        <v>192000</v>
      </c>
      <c r="J11" s="2816">
        <v>192000</v>
      </c>
      <c r="K11" s="2816">
        <f>+[2]Knihovna!$B$41</f>
        <v>192000</v>
      </c>
      <c r="L11" s="2817">
        <f t="shared" si="0"/>
        <v>0</v>
      </c>
      <c r="M11" s="2807"/>
      <c r="N11" s="2750"/>
    </row>
    <row r="12" spans="1:15" ht="15" customHeight="1" outlineLevel="1">
      <c r="A12" s="2818">
        <v>3314</v>
      </c>
      <c r="B12" s="2819">
        <v>5164</v>
      </c>
      <c r="C12" s="2820"/>
      <c r="D12" s="2821">
        <v>0</v>
      </c>
      <c r="E12" s="2821">
        <v>0</v>
      </c>
      <c r="F12" s="2821">
        <v>0</v>
      </c>
      <c r="G12" s="2821">
        <v>0</v>
      </c>
      <c r="H12" s="2821">
        <v>0</v>
      </c>
      <c r="I12" s="2821">
        <v>0</v>
      </c>
      <c r="J12" s="2821">
        <v>0</v>
      </c>
      <c r="K12" s="2821">
        <f>+[2]Knihovna!$B$42</f>
        <v>0</v>
      </c>
      <c r="L12" s="2822">
        <f t="shared" si="0"/>
        <v>0</v>
      </c>
      <c r="M12" s="2807"/>
      <c r="N12" s="2750"/>
    </row>
    <row r="13" spans="1:15" s="432" customFormat="1" ht="15" customHeight="1" thickBot="1">
      <c r="A13" s="3294" t="s">
        <v>1170</v>
      </c>
      <c r="B13" s="3295"/>
      <c r="C13" s="2823"/>
      <c r="D13" s="2824">
        <v>192000</v>
      </c>
      <c r="E13" s="2824">
        <v>192000</v>
      </c>
      <c r="F13" s="2824">
        <v>192000</v>
      </c>
      <c r="G13" s="2824">
        <v>192000</v>
      </c>
      <c r="H13" s="2824">
        <v>192000</v>
      </c>
      <c r="I13" s="2824">
        <v>192000</v>
      </c>
      <c r="J13" s="2824">
        <v>192000</v>
      </c>
      <c r="K13" s="2824">
        <f t="shared" ref="K13" si="3">SUM(K11:K12)</f>
        <v>192000</v>
      </c>
      <c r="L13" s="2825">
        <f t="shared" si="0"/>
        <v>0</v>
      </c>
      <c r="M13" s="2826">
        <f>'Výdaje kapitol celkem'!AF30</f>
        <v>192000</v>
      </c>
      <c r="N13" s="2750">
        <f>+M13-K13</f>
        <v>0</v>
      </c>
      <c r="O13" s="329"/>
    </row>
    <row r="14" spans="1:15" ht="15" customHeight="1" outlineLevel="1">
      <c r="A14" s="2813">
        <v>3399</v>
      </c>
      <c r="B14" s="2814">
        <f>+B9</f>
        <v>5164</v>
      </c>
      <c r="C14" s="2815" t="s">
        <v>2339</v>
      </c>
      <c r="D14" s="2816">
        <v>0</v>
      </c>
      <c r="E14" s="2816">
        <v>0</v>
      </c>
      <c r="F14" s="2816">
        <v>0</v>
      </c>
      <c r="G14" s="2816">
        <v>0</v>
      </c>
      <c r="H14" s="2816">
        <v>0</v>
      </c>
      <c r="I14" s="2816">
        <v>0</v>
      </c>
      <c r="J14" s="2816">
        <v>0</v>
      </c>
      <c r="K14" s="2816">
        <f>+[2]Kultura!$B$22</f>
        <v>0</v>
      </c>
      <c r="L14" s="2817">
        <f t="shared" si="0"/>
        <v>0</v>
      </c>
      <c r="M14" s="2807"/>
      <c r="N14" s="2750"/>
    </row>
    <row r="15" spans="1:15" ht="15" customHeight="1" outlineLevel="1">
      <c r="A15" s="2818">
        <v>3399</v>
      </c>
      <c r="B15" s="2819">
        <f>+B14</f>
        <v>5164</v>
      </c>
      <c r="C15" s="2820" t="s">
        <v>2225</v>
      </c>
      <c r="D15" s="2821">
        <v>80000</v>
      </c>
      <c r="E15" s="2821">
        <v>80000</v>
      </c>
      <c r="F15" s="2821">
        <v>80000</v>
      </c>
      <c r="G15" s="2821">
        <v>80000</v>
      </c>
      <c r="H15" s="2821">
        <v>80000</v>
      </c>
      <c r="I15" s="2821">
        <v>80000</v>
      </c>
      <c r="J15" s="2821">
        <v>80000</v>
      </c>
      <c r="K15" s="2821">
        <f>+[2]Kultura!$B$23</f>
        <v>88000</v>
      </c>
      <c r="L15" s="2822">
        <f t="shared" si="0"/>
        <v>8000</v>
      </c>
      <c r="M15" s="2807"/>
      <c r="N15" s="2750"/>
    </row>
    <row r="16" spans="1:15" ht="15" customHeight="1" outlineLevel="1">
      <c r="A16" s="2818">
        <v>3399</v>
      </c>
      <c r="B16" s="2819">
        <f>+B15</f>
        <v>5164</v>
      </c>
      <c r="C16" s="2820"/>
      <c r="D16" s="2821"/>
      <c r="E16" s="2821"/>
      <c r="F16" s="2821"/>
      <c r="G16" s="2821"/>
      <c r="H16" s="2821"/>
      <c r="I16" s="2821"/>
      <c r="J16" s="2821"/>
      <c r="K16" s="2821"/>
      <c r="L16" s="2822">
        <f t="shared" si="0"/>
        <v>0</v>
      </c>
      <c r="M16" s="2807"/>
      <c r="N16" s="2750"/>
    </row>
    <row r="17" spans="1:15" s="432" customFormat="1" ht="15" customHeight="1" thickBot="1">
      <c r="A17" s="3294" t="s">
        <v>1193</v>
      </c>
      <c r="B17" s="3295"/>
      <c r="C17" s="2823"/>
      <c r="D17" s="2824">
        <v>80000</v>
      </c>
      <c r="E17" s="2824">
        <v>80000</v>
      </c>
      <c r="F17" s="2824">
        <v>80000</v>
      </c>
      <c r="G17" s="2824">
        <v>80000</v>
      </c>
      <c r="H17" s="2824">
        <v>80000</v>
      </c>
      <c r="I17" s="2824">
        <v>80000</v>
      </c>
      <c r="J17" s="2824">
        <v>80000</v>
      </c>
      <c r="K17" s="2824">
        <f t="shared" ref="K17" si="4">SUM(K14:K16)</f>
        <v>88000</v>
      </c>
      <c r="L17" s="2825">
        <f t="shared" si="0"/>
        <v>8000</v>
      </c>
      <c r="M17" s="2826">
        <f>'Výdaje kapitol celkem'!AH30</f>
        <v>88000</v>
      </c>
      <c r="N17" s="2750">
        <f>+M17-K17</f>
        <v>0</v>
      </c>
      <c r="O17" s="329"/>
    </row>
    <row r="18" spans="1:15" ht="15" customHeight="1" outlineLevel="1">
      <c r="A18" s="2813">
        <v>3612</v>
      </c>
      <c r="B18" s="2814">
        <f>+B16</f>
        <v>5164</v>
      </c>
      <c r="C18" s="2815" t="s">
        <v>1684</v>
      </c>
      <c r="D18" s="2816"/>
      <c r="E18" s="2816"/>
      <c r="F18" s="2816"/>
      <c r="G18" s="2816"/>
      <c r="H18" s="2816"/>
      <c r="I18" s="2816"/>
      <c r="J18" s="2816"/>
      <c r="K18" s="2816"/>
      <c r="L18" s="2817">
        <f t="shared" si="0"/>
        <v>0</v>
      </c>
      <c r="M18" s="2807"/>
      <c r="N18" s="2750"/>
      <c r="O18" s="329"/>
    </row>
    <row r="19" spans="1:15" ht="15" customHeight="1" outlineLevel="1">
      <c r="A19" s="2818">
        <v>3612</v>
      </c>
      <c r="B19" s="2819">
        <f>+B18</f>
        <v>5164</v>
      </c>
      <c r="C19" s="2820"/>
      <c r="D19" s="2821">
        <v>0</v>
      </c>
      <c r="E19" s="2821">
        <v>0</v>
      </c>
      <c r="F19" s="2821">
        <v>0</v>
      </c>
      <c r="G19" s="2821">
        <v>0</v>
      </c>
      <c r="H19" s="2821">
        <v>0</v>
      </c>
      <c r="I19" s="2821">
        <v>0</v>
      </c>
      <c r="J19" s="2821">
        <v>0</v>
      </c>
      <c r="K19" s="2821">
        <f>+[3]Byty!$B$19</f>
        <v>0</v>
      </c>
      <c r="L19" s="2822">
        <f t="shared" si="0"/>
        <v>0</v>
      </c>
      <c r="M19" s="2807"/>
      <c r="N19" s="2750"/>
      <c r="O19" s="329"/>
    </row>
    <row r="20" spans="1:15" s="432" customFormat="1" ht="15" customHeight="1" thickBot="1">
      <c r="A20" s="3294" t="s">
        <v>1208</v>
      </c>
      <c r="B20" s="3295"/>
      <c r="C20" s="2823"/>
      <c r="D20" s="2824">
        <v>0</v>
      </c>
      <c r="E20" s="2824">
        <v>0</v>
      </c>
      <c r="F20" s="2824">
        <v>0</v>
      </c>
      <c r="G20" s="2824">
        <v>0</v>
      </c>
      <c r="H20" s="2824">
        <v>0</v>
      </c>
      <c r="I20" s="2824">
        <v>0</v>
      </c>
      <c r="J20" s="2824">
        <v>0</v>
      </c>
      <c r="K20" s="2824">
        <f t="shared" ref="K20" si="5">SUM(K18:K19)</f>
        <v>0</v>
      </c>
      <c r="L20" s="2825">
        <f t="shared" si="0"/>
        <v>0</v>
      </c>
      <c r="M20" s="2826">
        <f>'Výdaje kapitol celkem'!AI30</f>
        <v>0</v>
      </c>
      <c r="N20" s="2750">
        <f>+M20-K20</f>
        <v>0</v>
      </c>
      <c r="O20" s="329"/>
    </row>
    <row r="21" spans="1:15" ht="15" customHeight="1" outlineLevel="1">
      <c r="A21" s="2813">
        <v>3412</v>
      </c>
      <c r="B21" s="2814">
        <f>+B11</f>
        <v>5164</v>
      </c>
      <c r="C21" s="2815" t="s">
        <v>1685</v>
      </c>
      <c r="D21" s="2816">
        <v>100000</v>
      </c>
      <c r="E21" s="2816">
        <v>100000</v>
      </c>
      <c r="F21" s="2816">
        <v>0</v>
      </c>
      <c r="G21" s="2816">
        <v>0</v>
      </c>
      <c r="H21" s="2816">
        <v>0</v>
      </c>
      <c r="I21" s="2816">
        <v>0</v>
      </c>
      <c r="J21" s="2816">
        <v>0</v>
      </c>
      <c r="K21" s="2816">
        <f>+[3]koupaliště!$B$13</f>
        <v>0</v>
      </c>
      <c r="L21" s="2817">
        <f t="shared" si="0"/>
        <v>0</v>
      </c>
      <c r="M21" s="2807"/>
      <c r="N21" s="2750"/>
      <c r="O21" s="329"/>
    </row>
    <row r="22" spans="1:15" ht="15" customHeight="1" outlineLevel="1">
      <c r="A22" s="2818">
        <v>3412</v>
      </c>
      <c r="B22" s="2819">
        <f>+B21</f>
        <v>5164</v>
      </c>
      <c r="C22" s="2820"/>
      <c r="D22" s="2821">
        <v>0</v>
      </c>
      <c r="E22" s="2821">
        <v>0</v>
      </c>
      <c r="F22" s="2821">
        <v>0</v>
      </c>
      <c r="G22" s="2821">
        <v>0</v>
      </c>
      <c r="H22" s="2821">
        <v>0</v>
      </c>
      <c r="I22" s="2821">
        <v>0</v>
      </c>
      <c r="J22" s="2821">
        <v>0</v>
      </c>
      <c r="K22" s="2821">
        <f>+[3]koupaliště!$B$14</f>
        <v>0</v>
      </c>
      <c r="L22" s="2822">
        <f t="shared" si="0"/>
        <v>0</v>
      </c>
      <c r="M22" s="2807"/>
      <c r="N22" s="2750"/>
      <c r="O22" s="329"/>
    </row>
    <row r="23" spans="1:15" s="432" customFormat="1" ht="15" customHeight="1" thickBot="1">
      <c r="A23" s="3294" t="s">
        <v>1173</v>
      </c>
      <c r="B23" s="3295"/>
      <c r="C23" s="2823"/>
      <c r="D23" s="2824">
        <v>100000</v>
      </c>
      <c r="E23" s="2824">
        <v>100000</v>
      </c>
      <c r="F23" s="2824">
        <v>0</v>
      </c>
      <c r="G23" s="2824">
        <v>0</v>
      </c>
      <c r="H23" s="2824">
        <v>0</v>
      </c>
      <c r="I23" s="2824">
        <v>0</v>
      </c>
      <c r="J23" s="2824">
        <v>0</v>
      </c>
      <c r="K23" s="2824">
        <f t="shared" ref="K23" si="6">SUM(K21:K22)</f>
        <v>0</v>
      </c>
      <c r="L23" s="2825">
        <f t="shared" si="0"/>
        <v>0</v>
      </c>
      <c r="M23" s="2826">
        <f>'Výdaje kapitol celkem'!AX30</f>
        <v>0</v>
      </c>
      <c r="N23" s="2750">
        <f>+M23-K23</f>
        <v>0</v>
      </c>
      <c r="O23" s="329"/>
    </row>
    <row r="24" spans="1:15" ht="15" customHeight="1" outlineLevel="1">
      <c r="A24" s="2813" t="s">
        <v>1174</v>
      </c>
      <c r="B24" s="2814">
        <f>+B14</f>
        <v>5164</v>
      </c>
      <c r="C24" s="2815"/>
      <c r="D24" s="2816">
        <v>0</v>
      </c>
      <c r="E24" s="2816">
        <v>0</v>
      </c>
      <c r="F24" s="2816">
        <v>0</v>
      </c>
      <c r="G24" s="2816">
        <v>0</v>
      </c>
      <c r="H24" s="2816">
        <v>0</v>
      </c>
      <c r="I24" s="2816">
        <v>0</v>
      </c>
      <c r="J24" s="2816">
        <v>0</v>
      </c>
      <c r="K24" s="2816">
        <f>+[3]Hřiště!$B$5</f>
        <v>0</v>
      </c>
      <c r="L24" s="2817">
        <f t="shared" si="0"/>
        <v>0</v>
      </c>
      <c r="M24" s="2807"/>
      <c r="N24" s="2750"/>
    </row>
    <row r="25" spans="1:15" ht="15" customHeight="1" outlineLevel="1">
      <c r="A25" s="2818" t="s">
        <v>1174</v>
      </c>
      <c r="B25" s="2819">
        <f>+B24</f>
        <v>5164</v>
      </c>
      <c r="C25" s="2820"/>
      <c r="D25" s="2821">
        <v>0</v>
      </c>
      <c r="E25" s="2821">
        <v>0</v>
      </c>
      <c r="F25" s="2821">
        <v>0</v>
      </c>
      <c r="G25" s="2821">
        <v>0</v>
      </c>
      <c r="H25" s="2821">
        <v>0</v>
      </c>
      <c r="I25" s="2821">
        <v>0</v>
      </c>
      <c r="J25" s="2821">
        <v>0</v>
      </c>
      <c r="K25" s="2821">
        <f>+[3]Hřiště!$B$6</f>
        <v>0</v>
      </c>
      <c r="L25" s="2822">
        <f t="shared" si="0"/>
        <v>0</v>
      </c>
      <c r="M25" s="2807"/>
      <c r="N25" s="2750">
        <f>+M25-K25</f>
        <v>0</v>
      </c>
    </row>
    <row r="26" spans="1:15" s="432" customFormat="1" ht="15" customHeight="1" thickBot="1">
      <c r="A26" s="3294" t="s">
        <v>1175</v>
      </c>
      <c r="B26" s="3295"/>
      <c r="C26" s="2823"/>
      <c r="D26" s="2824">
        <v>0</v>
      </c>
      <c r="E26" s="2824">
        <v>0</v>
      </c>
      <c r="F26" s="2824">
        <v>0</v>
      </c>
      <c r="G26" s="2824">
        <v>0</v>
      </c>
      <c r="H26" s="2824">
        <v>0</v>
      </c>
      <c r="I26" s="2824">
        <v>0</v>
      </c>
      <c r="J26" s="2824">
        <v>0</v>
      </c>
      <c r="K26" s="2824">
        <f t="shared" ref="K26" si="7">SUM(K24:K25)</f>
        <v>0</v>
      </c>
      <c r="L26" s="2825">
        <f t="shared" si="0"/>
        <v>0</v>
      </c>
      <c r="M26" s="2826">
        <f>'Výdaje kapitol celkem'!BA30</f>
        <v>0</v>
      </c>
      <c r="N26" s="2750">
        <f>+M26-K26</f>
        <v>0</v>
      </c>
      <c r="O26" s="329"/>
    </row>
    <row r="27" spans="1:15" ht="15" customHeight="1" outlineLevel="1">
      <c r="A27" s="2813" t="s">
        <v>1176</v>
      </c>
      <c r="B27" s="2814">
        <v>5164</v>
      </c>
      <c r="C27" s="2815" t="s">
        <v>1686</v>
      </c>
      <c r="D27" s="2816">
        <v>16208</v>
      </c>
      <c r="E27" s="2816">
        <v>0</v>
      </c>
      <c r="F27" s="2816">
        <v>0</v>
      </c>
      <c r="G27" s="2816">
        <v>0</v>
      </c>
      <c r="H27" s="2816">
        <v>0</v>
      </c>
      <c r="I27" s="2816">
        <v>0</v>
      </c>
      <c r="J27" s="2816">
        <v>0</v>
      </c>
      <c r="K27" s="2816">
        <f>+[3]Spolky!$B$5</f>
        <v>0</v>
      </c>
      <c r="L27" s="2817">
        <f t="shared" si="0"/>
        <v>0</v>
      </c>
      <c r="M27" s="2807"/>
      <c r="N27" s="2750"/>
      <c r="O27" s="329"/>
    </row>
    <row r="28" spans="1:15" ht="15" customHeight="1" outlineLevel="1">
      <c r="A28" s="2818" t="s">
        <v>1176</v>
      </c>
      <c r="B28" s="2819">
        <f>+B27</f>
        <v>5164</v>
      </c>
      <c r="C28" s="2820"/>
      <c r="D28" s="2821">
        <v>0</v>
      </c>
      <c r="E28" s="2821">
        <v>0</v>
      </c>
      <c r="F28" s="2821">
        <v>0</v>
      </c>
      <c r="G28" s="2821">
        <v>0</v>
      </c>
      <c r="H28" s="2821">
        <v>0</v>
      </c>
      <c r="I28" s="2821">
        <v>0</v>
      </c>
      <c r="J28" s="2821">
        <v>0</v>
      </c>
      <c r="K28" s="2821">
        <f>+[3]Spolky!$B$6</f>
        <v>0</v>
      </c>
      <c r="L28" s="2822">
        <f t="shared" si="0"/>
        <v>0</v>
      </c>
      <c r="M28" s="2807"/>
      <c r="N28" s="2750"/>
      <c r="O28" s="329"/>
    </row>
    <row r="29" spans="1:15" s="432" customFormat="1" ht="15" customHeight="1" thickBot="1">
      <c r="A29" s="3294" t="s">
        <v>1177</v>
      </c>
      <c r="B29" s="3295"/>
      <c r="C29" s="2823"/>
      <c r="D29" s="2824">
        <v>16208</v>
      </c>
      <c r="E29" s="2824">
        <v>0</v>
      </c>
      <c r="F29" s="2824">
        <v>0</v>
      </c>
      <c r="G29" s="2824">
        <v>0</v>
      </c>
      <c r="H29" s="2824">
        <v>0</v>
      </c>
      <c r="I29" s="2824">
        <v>0</v>
      </c>
      <c r="J29" s="2824">
        <v>0</v>
      </c>
      <c r="K29" s="2824">
        <f t="shared" ref="K29" si="8">SUM(K27:K28)</f>
        <v>0</v>
      </c>
      <c r="L29" s="2825">
        <f t="shared" si="0"/>
        <v>0</v>
      </c>
      <c r="M29" s="2826">
        <f>'Výdaje kapitol celkem'!BD30</f>
        <v>0</v>
      </c>
      <c r="N29" s="2750">
        <f>+M29-K29</f>
        <v>0</v>
      </c>
      <c r="O29" s="329"/>
    </row>
    <row r="30" spans="1:15" ht="15" customHeight="1" outlineLevel="1">
      <c r="A30" s="2813">
        <v>3113</v>
      </c>
      <c r="B30" s="2814">
        <v>5164</v>
      </c>
      <c r="C30" s="2815" t="s">
        <v>1925</v>
      </c>
      <c r="D30" s="2816">
        <v>900000</v>
      </c>
      <c r="E30" s="2816">
        <v>900000</v>
      </c>
      <c r="F30" s="2816">
        <v>900000</v>
      </c>
      <c r="G30" s="2816">
        <v>900000</v>
      </c>
      <c r="H30" s="2816">
        <v>900000</v>
      </c>
      <c r="I30" s="2816">
        <v>900000</v>
      </c>
      <c r="J30" s="2816">
        <v>900000</v>
      </c>
      <c r="K30" s="2816">
        <v>900000</v>
      </c>
      <c r="L30" s="2817">
        <f t="shared" si="0"/>
        <v>0</v>
      </c>
      <c r="M30" s="2807"/>
      <c r="N30" s="2750"/>
      <c r="O30" s="329"/>
    </row>
    <row r="31" spans="1:15" ht="15" customHeight="1" outlineLevel="1">
      <c r="A31" s="2818">
        <v>3113</v>
      </c>
      <c r="B31" s="2819">
        <f>+B30</f>
        <v>5164</v>
      </c>
      <c r="C31" s="2820"/>
      <c r="D31" s="2821">
        <v>0</v>
      </c>
      <c r="E31" s="2821">
        <v>0</v>
      </c>
      <c r="F31" s="2821">
        <v>0</v>
      </c>
      <c r="G31" s="2821">
        <v>0</v>
      </c>
      <c r="H31" s="2821">
        <v>0</v>
      </c>
      <c r="I31" s="2821">
        <v>0</v>
      </c>
      <c r="J31" s="2821">
        <v>0</v>
      </c>
      <c r="K31" s="2821">
        <v>0</v>
      </c>
      <c r="L31" s="2822">
        <f t="shared" si="0"/>
        <v>0</v>
      </c>
      <c r="M31" s="2807"/>
      <c r="N31" s="2750"/>
      <c r="O31" s="329"/>
    </row>
    <row r="32" spans="1:15" s="432" customFormat="1" ht="15" customHeight="1" thickBot="1">
      <c r="A32" s="3294" t="s">
        <v>205</v>
      </c>
      <c r="B32" s="3295"/>
      <c r="C32" s="2823"/>
      <c r="D32" s="2824">
        <v>900000</v>
      </c>
      <c r="E32" s="2824">
        <v>900000</v>
      </c>
      <c r="F32" s="2824">
        <v>900000</v>
      </c>
      <c r="G32" s="2824">
        <v>900000</v>
      </c>
      <c r="H32" s="2824">
        <v>900000</v>
      </c>
      <c r="I32" s="2824">
        <v>900000</v>
      </c>
      <c r="J32" s="2824">
        <v>900000</v>
      </c>
      <c r="K32" s="2824">
        <f t="shared" ref="K32" si="9">SUM(K30:K31)</f>
        <v>900000</v>
      </c>
      <c r="L32" s="2825">
        <f t="shared" si="0"/>
        <v>0</v>
      </c>
      <c r="M32" s="2826">
        <f>'Výdaje kapitol celkem'!BG30</f>
        <v>900000</v>
      </c>
      <c r="N32" s="2750">
        <f>+M32-K32</f>
        <v>0</v>
      </c>
      <c r="O32" s="329"/>
    </row>
    <row r="33" spans="1:15" s="432" customFormat="1" ht="15" customHeight="1" outlineLevel="1">
      <c r="A33" s="2813" t="s">
        <v>1529</v>
      </c>
      <c r="B33" s="2814">
        <v>5164</v>
      </c>
      <c r="C33" s="2815"/>
      <c r="D33" s="2816">
        <v>0</v>
      </c>
      <c r="E33" s="2816">
        <v>0</v>
      </c>
      <c r="F33" s="2816">
        <v>0</v>
      </c>
      <c r="G33" s="2816">
        <v>0</v>
      </c>
      <c r="H33" s="2816">
        <v>0</v>
      </c>
      <c r="I33" s="2816">
        <v>0</v>
      </c>
      <c r="J33" s="2816">
        <v>0</v>
      </c>
      <c r="K33" s="2816">
        <f>+[3]Sv.Š!$B$12</f>
        <v>0</v>
      </c>
      <c r="L33" s="2817">
        <f t="shared" si="0"/>
        <v>0</v>
      </c>
      <c r="M33" s="2807"/>
      <c r="N33" s="2750"/>
      <c r="O33" s="329"/>
    </row>
    <row r="34" spans="1:15" s="432" customFormat="1" ht="15" customHeight="1" outlineLevel="1">
      <c r="A34" s="2818" t="s">
        <v>1529</v>
      </c>
      <c r="B34" s="2819">
        <f>+B33</f>
        <v>5164</v>
      </c>
      <c r="C34" s="2820"/>
      <c r="D34" s="2821">
        <v>0</v>
      </c>
      <c r="E34" s="2821">
        <v>0</v>
      </c>
      <c r="F34" s="2821">
        <v>0</v>
      </c>
      <c r="G34" s="2821">
        <v>0</v>
      </c>
      <c r="H34" s="2821">
        <v>0</v>
      </c>
      <c r="I34" s="2821">
        <v>0</v>
      </c>
      <c r="J34" s="2821">
        <v>0</v>
      </c>
      <c r="K34" s="2821">
        <f>+[3]Sv.Š!$B$13</f>
        <v>0</v>
      </c>
      <c r="L34" s="2822">
        <f t="shared" si="0"/>
        <v>0</v>
      </c>
      <c r="M34" s="2807"/>
      <c r="N34" s="2750"/>
      <c r="O34" s="329"/>
    </row>
    <row r="35" spans="1:15" s="432" customFormat="1" ht="15" customHeight="1" thickBot="1">
      <c r="A35" s="3294" t="s">
        <v>2618</v>
      </c>
      <c r="B35" s="3295"/>
      <c r="C35" s="2823"/>
      <c r="D35" s="2824">
        <v>0</v>
      </c>
      <c r="E35" s="2824">
        <v>0</v>
      </c>
      <c r="F35" s="2824">
        <v>0</v>
      </c>
      <c r="G35" s="2824">
        <v>0</v>
      </c>
      <c r="H35" s="2824">
        <v>0</v>
      </c>
      <c r="I35" s="2824">
        <v>0</v>
      </c>
      <c r="J35" s="2824">
        <v>0</v>
      </c>
      <c r="K35" s="2824">
        <f t="shared" ref="K35" si="10">SUM(K33:K34)</f>
        <v>0</v>
      </c>
      <c r="L35" s="2825">
        <f t="shared" si="0"/>
        <v>0</v>
      </c>
      <c r="M35" s="2826">
        <f>'Výdaje kapitol celkem'!BG33</f>
        <v>0</v>
      </c>
      <c r="N35" s="2750">
        <f>+M35-K35</f>
        <v>0</v>
      </c>
      <c r="O35" s="329"/>
    </row>
    <row r="36" spans="1:15" ht="15" customHeight="1" outlineLevel="1">
      <c r="A36" s="2813">
        <v>3631</v>
      </c>
      <c r="B36" s="2814">
        <f>+B16</f>
        <v>5164</v>
      </c>
      <c r="C36" s="2815" t="s">
        <v>1687</v>
      </c>
      <c r="D36" s="2816"/>
      <c r="E36" s="2816"/>
      <c r="F36" s="2816"/>
      <c r="G36" s="2816"/>
      <c r="H36" s="2816"/>
      <c r="I36" s="2816"/>
      <c r="J36" s="2816"/>
      <c r="K36" s="2816"/>
      <c r="L36" s="2817">
        <f t="shared" si="0"/>
        <v>0</v>
      </c>
      <c r="M36" s="2807"/>
      <c r="N36" s="2750"/>
      <c r="O36" s="329"/>
    </row>
    <row r="37" spans="1:15" ht="15" customHeight="1" outlineLevel="1">
      <c r="A37" s="2818">
        <v>3631</v>
      </c>
      <c r="B37" s="2819">
        <f>+B36</f>
        <v>5164</v>
      </c>
      <c r="C37" s="2820"/>
      <c r="D37" s="2827"/>
      <c r="E37" s="2827"/>
      <c r="F37" s="2827"/>
      <c r="G37" s="2827"/>
      <c r="H37" s="2827"/>
      <c r="I37" s="2827"/>
      <c r="J37" s="2827"/>
      <c r="K37" s="2827"/>
      <c r="L37" s="2828">
        <f t="shared" si="0"/>
        <v>0</v>
      </c>
      <c r="M37" s="2807"/>
      <c r="N37" s="2750"/>
      <c r="O37" s="329"/>
    </row>
    <row r="38" spans="1:15" ht="15" customHeight="1" thickBot="1">
      <c r="A38" s="3294" t="s">
        <v>630</v>
      </c>
      <c r="B38" s="3295"/>
      <c r="C38" s="2823"/>
      <c r="D38" s="2824">
        <v>0</v>
      </c>
      <c r="E38" s="2824">
        <v>0</v>
      </c>
      <c r="F38" s="2824">
        <v>0</v>
      </c>
      <c r="G38" s="2824">
        <v>0</v>
      </c>
      <c r="H38" s="2824">
        <v>0</v>
      </c>
      <c r="I38" s="2824">
        <v>0</v>
      </c>
      <c r="J38" s="2824">
        <v>0</v>
      </c>
      <c r="K38" s="2824">
        <f>SUM(K36:K37)</f>
        <v>0</v>
      </c>
      <c r="L38" s="2825">
        <f t="shared" si="0"/>
        <v>0</v>
      </c>
      <c r="M38" s="2826">
        <f>+'Výdaje kapitol celkem'!CG30</f>
        <v>0</v>
      </c>
      <c r="N38" s="2750">
        <f>+M38-K38</f>
        <v>0</v>
      </c>
      <c r="O38" s="329"/>
    </row>
    <row r="39" spans="1:15" ht="15" customHeight="1" outlineLevel="1">
      <c r="A39" s="2813" t="s">
        <v>714</v>
      </c>
      <c r="B39" s="2814">
        <f>+B19</f>
        <v>5164</v>
      </c>
      <c r="C39" s="2815"/>
      <c r="D39" s="2816"/>
      <c r="E39" s="2816"/>
      <c r="F39" s="2816"/>
      <c r="G39" s="2816"/>
      <c r="H39" s="2816"/>
      <c r="I39" s="2816"/>
      <c r="J39" s="2816"/>
      <c r="K39" s="2816"/>
      <c r="L39" s="2817">
        <f t="shared" si="0"/>
        <v>0</v>
      </c>
      <c r="M39" s="2807"/>
      <c r="N39" s="2750"/>
      <c r="O39" s="329"/>
    </row>
    <row r="40" spans="1:15" ht="15" customHeight="1" outlineLevel="1">
      <c r="A40" s="2818" t="s">
        <v>714</v>
      </c>
      <c r="B40" s="2819">
        <f>+B39</f>
        <v>5164</v>
      </c>
      <c r="C40" s="2820"/>
      <c r="D40" s="2827"/>
      <c r="E40" s="2827"/>
      <c r="F40" s="2827"/>
      <c r="G40" s="2827"/>
      <c r="H40" s="2827"/>
      <c r="I40" s="2827"/>
      <c r="J40" s="2827"/>
      <c r="K40" s="2827"/>
      <c r="L40" s="2828">
        <f t="shared" si="0"/>
        <v>0</v>
      </c>
      <c r="M40" s="2807"/>
      <c r="N40" s="2750"/>
      <c r="O40" s="329"/>
    </row>
    <row r="41" spans="1:15" ht="15" customHeight="1" thickBot="1">
      <c r="A41" s="3294" t="s">
        <v>1209</v>
      </c>
      <c r="B41" s="3295"/>
      <c r="C41" s="2823"/>
      <c r="D41" s="2824">
        <v>0</v>
      </c>
      <c r="E41" s="2824">
        <v>0</v>
      </c>
      <c r="F41" s="2824">
        <v>0</v>
      </c>
      <c r="G41" s="2824">
        <v>0</v>
      </c>
      <c r="H41" s="2824">
        <v>0</v>
      </c>
      <c r="I41" s="2824">
        <v>0</v>
      </c>
      <c r="J41" s="2824">
        <v>0</v>
      </c>
      <c r="K41" s="2824">
        <f t="shared" ref="K41" si="11">SUM(K39:K40)</f>
        <v>0</v>
      </c>
      <c r="L41" s="2825">
        <f t="shared" si="0"/>
        <v>0</v>
      </c>
      <c r="M41" s="2826"/>
      <c r="N41" s="2750">
        <f>+M41-K41</f>
        <v>0</v>
      </c>
      <c r="O41" s="329"/>
    </row>
    <row r="42" spans="1:15" ht="15" customHeight="1" outlineLevel="1">
      <c r="A42" s="2813">
        <v>2212</v>
      </c>
      <c r="B42" s="2814">
        <f>+B40</f>
        <v>5164</v>
      </c>
      <c r="C42" s="1410" t="s">
        <v>2340</v>
      </c>
      <c r="D42" s="2816">
        <v>1500</v>
      </c>
      <c r="E42" s="2816">
        <v>1500</v>
      </c>
      <c r="F42" s="2816">
        <v>1500</v>
      </c>
      <c r="G42" s="2816">
        <v>1500</v>
      </c>
      <c r="H42" s="2816">
        <v>1500</v>
      </c>
      <c r="I42" s="2816">
        <v>1500</v>
      </c>
      <c r="J42" s="2816">
        <v>1500</v>
      </c>
      <c r="K42" s="2816">
        <f>+'[4]Silnice-nájem'!$B$5</f>
        <v>1500</v>
      </c>
      <c r="L42" s="2817">
        <f t="shared" si="0"/>
        <v>0</v>
      </c>
      <c r="M42" s="2807"/>
      <c r="N42" s="2750"/>
      <c r="O42" s="329"/>
    </row>
    <row r="43" spans="1:15" ht="15" customHeight="1" outlineLevel="1">
      <c r="A43" s="2818">
        <v>2212</v>
      </c>
      <c r="B43" s="2819">
        <v>5164</v>
      </c>
      <c r="C43" s="1411" t="s">
        <v>1689</v>
      </c>
      <c r="D43" s="2829">
        <v>1500</v>
      </c>
      <c r="E43" s="2829">
        <v>1500</v>
      </c>
      <c r="F43" s="2829">
        <v>1500</v>
      </c>
      <c r="G43" s="2829">
        <v>1500</v>
      </c>
      <c r="H43" s="2829">
        <v>1500</v>
      </c>
      <c r="I43" s="2829">
        <v>1500</v>
      </c>
      <c r="J43" s="2829">
        <v>1500</v>
      </c>
      <c r="K43" s="2829">
        <f>+'[4]Silnice-nájem'!$B$6</f>
        <v>1500</v>
      </c>
      <c r="L43" s="2822">
        <f t="shared" si="0"/>
        <v>0</v>
      </c>
      <c r="M43" s="2807"/>
      <c r="N43" s="2750"/>
      <c r="O43" s="329"/>
    </row>
    <row r="44" spans="1:15" ht="15" customHeight="1" outlineLevel="1">
      <c r="A44" s="2818">
        <v>2212</v>
      </c>
      <c r="B44" s="2819">
        <v>5164</v>
      </c>
      <c r="C44" s="1411" t="s">
        <v>2341</v>
      </c>
      <c r="D44" s="2821">
        <v>3500</v>
      </c>
      <c r="E44" s="2821">
        <v>3500</v>
      </c>
      <c r="F44" s="2821">
        <v>3500</v>
      </c>
      <c r="G44" s="2821">
        <v>3500</v>
      </c>
      <c r="H44" s="2821">
        <v>3500</v>
      </c>
      <c r="I44" s="2821">
        <v>3500</v>
      </c>
      <c r="J44" s="2821">
        <v>3500</v>
      </c>
      <c r="K44" s="2821">
        <f>+'[4]Silnice-nájem'!$B$7</f>
        <v>3500</v>
      </c>
      <c r="L44" s="2822">
        <f t="shared" si="0"/>
        <v>0</v>
      </c>
      <c r="M44" s="2807"/>
      <c r="N44" s="2750"/>
      <c r="O44" s="329"/>
    </row>
    <row r="45" spans="1:15" ht="15" customHeight="1" outlineLevel="1">
      <c r="A45" s="2818">
        <v>2212</v>
      </c>
      <c r="B45" s="2819">
        <v>5164</v>
      </c>
      <c r="C45" s="1411" t="s">
        <v>1690</v>
      </c>
      <c r="D45" s="2821">
        <v>1210</v>
      </c>
      <c r="E45" s="2821">
        <v>1210</v>
      </c>
      <c r="F45" s="2821">
        <v>1210</v>
      </c>
      <c r="G45" s="2821">
        <v>1210</v>
      </c>
      <c r="H45" s="2821">
        <v>1210</v>
      </c>
      <c r="I45" s="2821">
        <v>1210</v>
      </c>
      <c r="J45" s="2821">
        <v>1210</v>
      </c>
      <c r="K45" s="2821">
        <f>+'[4]Silnice-nájem'!$B$8+12</f>
        <v>15157</v>
      </c>
      <c r="L45" s="2822">
        <f t="shared" si="0"/>
        <v>13947</v>
      </c>
      <c r="M45" s="2807"/>
      <c r="N45" s="2750"/>
      <c r="O45" s="329"/>
    </row>
    <row r="46" spans="1:15" ht="15" customHeight="1" outlineLevel="1">
      <c r="A46" s="2818">
        <v>2212</v>
      </c>
      <c r="B46" s="2819">
        <v>5164</v>
      </c>
      <c r="C46" s="1411" t="s">
        <v>1691</v>
      </c>
      <c r="D46" s="2821">
        <v>17332</v>
      </c>
      <c r="E46" s="2821">
        <v>17332</v>
      </c>
      <c r="F46" s="2821">
        <v>17332</v>
      </c>
      <c r="G46" s="2821">
        <v>17332</v>
      </c>
      <c r="H46" s="2821">
        <v>17332</v>
      </c>
      <c r="I46" s="2821">
        <v>17332</v>
      </c>
      <c r="J46" s="2821">
        <v>17332</v>
      </c>
      <c r="K46" s="2821">
        <f>+'[4]Silnice-nájem'!$B$9</f>
        <v>1210</v>
      </c>
      <c r="L46" s="2822">
        <f t="shared" si="0"/>
        <v>-16122</v>
      </c>
      <c r="M46" s="2807"/>
      <c r="N46" s="2750"/>
      <c r="O46" s="329"/>
    </row>
    <row r="47" spans="1:15" ht="15" customHeight="1" outlineLevel="1">
      <c r="A47" s="2818">
        <v>2212</v>
      </c>
      <c r="B47" s="2819">
        <v>5164</v>
      </c>
      <c r="C47" s="1411" t="s">
        <v>1692</v>
      </c>
      <c r="D47" s="2821">
        <v>225</v>
      </c>
      <c r="E47" s="2821">
        <v>225</v>
      </c>
      <c r="F47" s="2821">
        <v>225</v>
      </c>
      <c r="G47" s="2821">
        <v>225</v>
      </c>
      <c r="H47" s="2821">
        <v>225</v>
      </c>
      <c r="I47" s="2821">
        <v>225</v>
      </c>
      <c r="J47" s="2821">
        <v>225</v>
      </c>
      <c r="K47" s="2821">
        <f>+'[4]Silnice-nájem'!$B$10</f>
        <v>17332</v>
      </c>
      <c r="L47" s="2822">
        <f t="shared" si="0"/>
        <v>17107</v>
      </c>
      <c r="M47" s="2807"/>
      <c r="N47" s="2750"/>
      <c r="O47" s="329"/>
    </row>
    <row r="48" spans="1:15" s="432" customFormat="1" ht="15" customHeight="1" outlineLevel="1">
      <c r="A48" s="2818">
        <v>2212</v>
      </c>
      <c r="B48" s="2819">
        <v>5164</v>
      </c>
      <c r="C48" s="1411" t="s">
        <v>1693</v>
      </c>
      <c r="D48" s="2821">
        <v>10176</v>
      </c>
      <c r="E48" s="2821">
        <v>10176</v>
      </c>
      <c r="F48" s="2821">
        <v>10176</v>
      </c>
      <c r="G48" s="2821">
        <v>10176</v>
      </c>
      <c r="H48" s="2821">
        <v>10176</v>
      </c>
      <c r="I48" s="2821">
        <v>10176</v>
      </c>
      <c r="J48" s="2821">
        <v>10176</v>
      </c>
      <c r="K48" s="2821">
        <f>+'[4]Silnice-nájem'!$B$11</f>
        <v>225</v>
      </c>
      <c r="L48" s="2822">
        <f t="shared" si="0"/>
        <v>-9951</v>
      </c>
      <c r="M48" s="2807"/>
      <c r="N48" s="2750"/>
      <c r="O48" s="329"/>
    </row>
    <row r="49" spans="1:15" ht="15" customHeight="1" outlineLevel="1">
      <c r="A49" s="2818">
        <v>2212</v>
      </c>
      <c r="B49" s="2819">
        <v>5164</v>
      </c>
      <c r="C49" s="1411" t="s">
        <v>1694</v>
      </c>
      <c r="D49" s="2821"/>
      <c r="E49" s="2821"/>
      <c r="F49" s="2821"/>
      <c r="G49" s="2821"/>
      <c r="H49" s="2821"/>
      <c r="I49" s="2821"/>
      <c r="J49" s="2821"/>
      <c r="K49" s="2821"/>
      <c r="L49" s="2822">
        <f t="shared" si="0"/>
        <v>0</v>
      </c>
      <c r="M49" s="2807"/>
      <c r="N49" s="2750"/>
      <c r="O49" s="329"/>
    </row>
    <row r="50" spans="1:15" ht="15" customHeight="1" outlineLevel="1">
      <c r="A50" s="2818">
        <v>2212</v>
      </c>
      <c r="B50" s="2819">
        <v>5164</v>
      </c>
      <c r="C50" s="1411" t="s">
        <v>1695</v>
      </c>
      <c r="D50" s="2821"/>
      <c r="E50" s="2821"/>
      <c r="F50" s="2821"/>
      <c r="G50" s="2821"/>
      <c r="H50" s="2821"/>
      <c r="I50" s="2821"/>
      <c r="J50" s="2821"/>
      <c r="K50" s="2821"/>
      <c r="L50" s="2822">
        <f t="shared" si="0"/>
        <v>0</v>
      </c>
      <c r="M50" s="2807"/>
      <c r="N50" s="2750"/>
      <c r="O50" s="329"/>
    </row>
    <row r="51" spans="1:15" s="432" customFormat="1" ht="15" customHeight="1" outlineLevel="1">
      <c r="A51" s="2818">
        <v>2212</v>
      </c>
      <c r="B51" s="2819">
        <v>5164</v>
      </c>
      <c r="C51" s="1411" t="s">
        <v>1696</v>
      </c>
      <c r="D51" s="2821">
        <v>12</v>
      </c>
      <c r="E51" s="2821">
        <v>12</v>
      </c>
      <c r="F51" s="2821">
        <v>12</v>
      </c>
      <c r="G51" s="2821">
        <v>12</v>
      </c>
      <c r="H51" s="2821">
        <v>12</v>
      </c>
      <c r="I51" s="2821">
        <v>12</v>
      </c>
      <c r="J51" s="2821">
        <v>12</v>
      </c>
      <c r="K51" s="2821">
        <f>+'[4]Silnice-nájem'!$B$12</f>
        <v>10176</v>
      </c>
      <c r="L51" s="2822">
        <f t="shared" si="0"/>
        <v>10164</v>
      </c>
      <c r="M51" s="2807"/>
      <c r="N51" s="2750"/>
      <c r="O51" s="329"/>
    </row>
    <row r="52" spans="1:15" s="281" customFormat="1" ht="15" customHeight="1" outlineLevel="1">
      <c r="A52" s="2818">
        <v>2212</v>
      </c>
      <c r="B52" s="2819">
        <v>5164</v>
      </c>
      <c r="C52" s="1411" t="s">
        <v>1687</v>
      </c>
      <c r="D52" s="2821">
        <v>400</v>
      </c>
      <c r="E52" s="2821">
        <v>400</v>
      </c>
      <c r="F52" s="2821">
        <v>400</v>
      </c>
      <c r="G52" s="2821">
        <v>400</v>
      </c>
      <c r="H52" s="2821">
        <v>400</v>
      </c>
      <c r="I52" s="2821">
        <v>400</v>
      </c>
      <c r="J52" s="2821">
        <v>400</v>
      </c>
      <c r="K52" s="2821">
        <f>+[3]Silnice!$B$20</f>
        <v>400</v>
      </c>
      <c r="L52" s="2822">
        <f t="shared" si="0"/>
        <v>0</v>
      </c>
      <c r="M52" s="2807"/>
      <c r="N52" s="2750"/>
      <c r="O52" s="329"/>
    </row>
    <row r="53" spans="1:15" ht="15" customHeight="1" outlineLevel="1">
      <c r="A53" s="2818">
        <v>2212</v>
      </c>
      <c r="B53" s="2819">
        <v>5164</v>
      </c>
      <c r="C53" s="1411" t="s">
        <v>2802</v>
      </c>
      <c r="D53" s="2821">
        <v>0</v>
      </c>
      <c r="E53" s="2821">
        <v>0</v>
      </c>
      <c r="F53" s="2821">
        <v>0</v>
      </c>
      <c r="G53" s="2821">
        <v>0</v>
      </c>
      <c r="H53" s="2821">
        <v>40000</v>
      </c>
      <c r="I53" s="2821">
        <v>40000</v>
      </c>
      <c r="J53" s="2821">
        <v>40000</v>
      </c>
      <c r="K53" s="2821">
        <f>+[3]Silnice!$B$21</f>
        <v>40000</v>
      </c>
      <c r="L53" s="2822">
        <f t="shared" si="0"/>
        <v>0</v>
      </c>
      <c r="M53" s="2807"/>
      <c r="N53" s="2750"/>
    </row>
    <row r="54" spans="1:15" ht="15" customHeight="1" outlineLevel="1">
      <c r="A54" s="2818"/>
      <c r="B54" s="2819"/>
      <c r="C54" s="2830"/>
      <c r="D54" s="2831"/>
      <c r="E54" s="2831"/>
      <c r="F54" s="2831"/>
      <c r="G54" s="2831"/>
      <c r="H54" s="2831"/>
      <c r="I54" s="2831"/>
      <c r="J54" s="2831"/>
      <c r="K54" s="2831"/>
      <c r="L54" s="2832">
        <f t="shared" si="0"/>
        <v>0</v>
      </c>
      <c r="M54" s="2807"/>
      <c r="N54" s="2750"/>
    </row>
    <row r="55" spans="1:15" s="323" customFormat="1" ht="15" customHeight="1" thickBot="1">
      <c r="A55" s="3294" t="s">
        <v>631</v>
      </c>
      <c r="B55" s="3295"/>
      <c r="C55" s="2823"/>
      <c r="D55" s="2824">
        <v>35855</v>
      </c>
      <c r="E55" s="2824">
        <v>35855</v>
      </c>
      <c r="F55" s="2824">
        <v>35855</v>
      </c>
      <c r="G55" s="2824">
        <v>35855</v>
      </c>
      <c r="H55" s="2824">
        <v>75855</v>
      </c>
      <c r="I55" s="2824">
        <v>75855</v>
      </c>
      <c r="J55" s="2824">
        <v>75855</v>
      </c>
      <c r="K55" s="2824">
        <f>SUM(K42:K54)</f>
        <v>91000</v>
      </c>
      <c r="L55" s="2825">
        <f t="shared" si="0"/>
        <v>15145</v>
      </c>
      <c r="M55" s="2826">
        <f>'Výdaje kapitol celkem'!CJ30</f>
        <v>91000</v>
      </c>
      <c r="N55" s="2750">
        <f>+M55-K55</f>
        <v>0</v>
      </c>
    </row>
    <row r="56" spans="1:15" ht="15" customHeight="1" outlineLevel="1">
      <c r="A56" s="2813" t="s">
        <v>296</v>
      </c>
      <c r="B56" s="2814">
        <f>+B53</f>
        <v>5164</v>
      </c>
      <c r="C56" s="2815" t="s">
        <v>1688</v>
      </c>
      <c r="D56" s="2816">
        <v>1500</v>
      </c>
      <c r="E56" s="2816">
        <v>1500</v>
      </c>
      <c r="F56" s="2816">
        <v>1500</v>
      </c>
      <c r="G56" s="2816">
        <v>1500</v>
      </c>
      <c r="H56" s="2816">
        <v>1500</v>
      </c>
      <c r="I56" s="2816">
        <v>1500</v>
      </c>
      <c r="J56" s="2816">
        <v>1500</v>
      </c>
      <c r="K56" s="2816">
        <f>+[4]Rybníky!$B$5</f>
        <v>1500</v>
      </c>
      <c r="L56" s="2817">
        <f t="shared" si="0"/>
        <v>0</v>
      </c>
      <c r="M56" s="2807"/>
      <c r="N56" s="2750"/>
    </row>
    <row r="57" spans="1:15" ht="15" customHeight="1" outlineLevel="1">
      <c r="A57" s="2818" t="s">
        <v>296</v>
      </c>
      <c r="B57" s="2819">
        <f>+B56</f>
        <v>5164</v>
      </c>
      <c r="C57" s="2820"/>
      <c r="D57" s="2821">
        <v>0</v>
      </c>
      <c r="E57" s="2821">
        <v>0</v>
      </c>
      <c r="F57" s="2821">
        <v>0</v>
      </c>
      <c r="G57" s="2821">
        <v>0</v>
      </c>
      <c r="H57" s="2821">
        <v>0</v>
      </c>
      <c r="I57" s="2821">
        <v>0</v>
      </c>
      <c r="J57" s="2821">
        <v>0</v>
      </c>
      <c r="K57" s="2821">
        <f>+[4]Rybníky!$B$6</f>
        <v>0</v>
      </c>
      <c r="L57" s="2828">
        <f t="shared" si="0"/>
        <v>0</v>
      </c>
      <c r="M57" s="2807"/>
      <c r="N57" s="2750"/>
    </row>
    <row r="58" spans="1:15" ht="15" customHeight="1" outlineLevel="1">
      <c r="A58" s="2818" t="s">
        <v>296</v>
      </c>
      <c r="B58" s="2819">
        <f>+B57</f>
        <v>5164</v>
      </c>
      <c r="C58" s="2820"/>
      <c r="D58" s="2821">
        <v>0</v>
      </c>
      <c r="E58" s="2821">
        <v>0</v>
      </c>
      <c r="F58" s="2821">
        <v>0</v>
      </c>
      <c r="G58" s="2821">
        <v>0</v>
      </c>
      <c r="H58" s="2821">
        <v>0</v>
      </c>
      <c r="I58" s="2821">
        <v>0</v>
      </c>
      <c r="J58" s="2821">
        <v>0</v>
      </c>
      <c r="K58" s="2821">
        <f>+'[5]Rybníky 3749-2'!$B$15</f>
        <v>0</v>
      </c>
      <c r="L58" s="2828">
        <f t="shared" si="0"/>
        <v>0</v>
      </c>
      <c r="M58" s="2807"/>
      <c r="N58" s="2750"/>
    </row>
    <row r="59" spans="1:15" ht="15" customHeight="1" outlineLevel="1">
      <c r="A59" s="2818" t="s">
        <v>296</v>
      </c>
      <c r="B59" s="2819">
        <f>+B58</f>
        <v>5164</v>
      </c>
      <c r="C59" s="2820" t="s">
        <v>2398</v>
      </c>
      <c r="D59" s="2821">
        <v>350000</v>
      </c>
      <c r="E59" s="2821">
        <v>350000</v>
      </c>
      <c r="F59" s="2821">
        <v>350000</v>
      </c>
      <c r="G59" s="2821">
        <v>350000</v>
      </c>
      <c r="H59" s="2821">
        <v>350000</v>
      </c>
      <c r="I59" s="2821">
        <v>350000</v>
      </c>
      <c r="J59" s="2821">
        <v>350000</v>
      </c>
      <c r="K59" s="2821">
        <f>+'[5]Rybníky 3749-2'!$B$16</f>
        <v>350000</v>
      </c>
      <c r="L59" s="2828">
        <f t="shared" si="0"/>
        <v>0</v>
      </c>
      <c r="M59" s="2807"/>
      <c r="N59" s="2750"/>
    </row>
    <row r="60" spans="1:15" ht="15" customHeight="1" outlineLevel="1">
      <c r="A60" s="2818" t="s">
        <v>296</v>
      </c>
      <c r="B60" s="2819">
        <f>+B58</f>
        <v>5164</v>
      </c>
      <c r="C60" s="2820"/>
      <c r="D60" s="2821"/>
      <c r="E60" s="2821"/>
      <c r="F60" s="2821"/>
      <c r="G60" s="2821"/>
      <c r="H60" s="2821"/>
      <c r="I60" s="2821"/>
      <c r="J60" s="2821"/>
      <c r="K60" s="2821"/>
      <c r="L60" s="2828">
        <f t="shared" si="0"/>
        <v>0</v>
      </c>
      <c r="M60" s="2807"/>
      <c r="N60" s="2750"/>
    </row>
    <row r="61" spans="1:15" ht="15" customHeight="1" outlineLevel="1" thickBot="1">
      <c r="A61" s="3294" t="s">
        <v>1188</v>
      </c>
      <c r="B61" s="3295"/>
      <c r="C61" s="2823"/>
      <c r="D61" s="2824">
        <v>351500</v>
      </c>
      <c r="E61" s="2824">
        <v>351500</v>
      </c>
      <c r="F61" s="2824">
        <v>351500</v>
      </c>
      <c r="G61" s="2824">
        <v>351500</v>
      </c>
      <c r="H61" s="2824">
        <v>351500</v>
      </c>
      <c r="I61" s="2824">
        <v>351500</v>
      </c>
      <c r="J61" s="2824">
        <v>351500</v>
      </c>
      <c r="K61" s="2824">
        <f>SUM(K56:K60)</f>
        <v>351500</v>
      </c>
      <c r="L61" s="2825">
        <f t="shared" si="0"/>
        <v>0</v>
      </c>
      <c r="M61" s="2826">
        <f>'Výdaje kapitol celkem'!DR30</f>
        <v>351500</v>
      </c>
      <c r="N61" s="2750">
        <f>+M61-K61</f>
        <v>0</v>
      </c>
    </row>
    <row r="62" spans="1:15" ht="15" customHeight="1" thickBot="1">
      <c r="A62" s="3291" t="s">
        <v>732</v>
      </c>
      <c r="B62" s="3292"/>
      <c r="C62" s="3293"/>
      <c r="D62" s="2833">
        <v>1699563</v>
      </c>
      <c r="E62" s="2833">
        <v>1683355</v>
      </c>
      <c r="F62" s="2833">
        <v>1583355</v>
      </c>
      <c r="G62" s="2833">
        <v>1583355</v>
      </c>
      <c r="H62" s="2833">
        <v>1623355</v>
      </c>
      <c r="I62" s="2833">
        <v>1623355</v>
      </c>
      <c r="J62" s="2833">
        <v>1623355</v>
      </c>
      <c r="K62" s="2833">
        <f>+K61+K55+K41+K20+K17+K10+K32+K13+K7+K23+K38+K26+K29+K35</f>
        <v>1622600</v>
      </c>
      <c r="L62" s="2834">
        <f t="shared" si="0"/>
        <v>-755</v>
      </c>
      <c r="M62" s="2807"/>
      <c r="N62" s="1908"/>
    </row>
    <row r="63" spans="1:15" ht="13.15">
      <c r="A63" s="2835"/>
      <c r="B63" s="2835"/>
      <c r="C63" s="2835"/>
      <c r="D63" s="109">
        <v>1699563</v>
      </c>
      <c r="E63" s="109">
        <v>1683355</v>
      </c>
      <c r="F63" s="109">
        <v>1583355</v>
      </c>
      <c r="G63" s="109">
        <v>1583355</v>
      </c>
      <c r="H63" s="109">
        <v>1623355</v>
      </c>
      <c r="I63" s="109">
        <v>1623355</v>
      </c>
      <c r="J63" s="109">
        <v>1623355</v>
      </c>
      <c r="K63" s="190">
        <f>+'Výdaje kapitol celkem'!K30</f>
        <v>1622600</v>
      </c>
      <c r="L63" s="284"/>
      <c r="M63" s="2807"/>
      <c r="N63" s="1908"/>
    </row>
    <row r="64" spans="1:15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284">
        <f>+K63-K62</f>
        <v>0</v>
      </c>
      <c r="L64" s="284"/>
      <c r="M64" s="2731"/>
      <c r="N64" s="1908"/>
    </row>
    <row r="65" spans="1:14" ht="25.5" customHeight="1">
      <c r="A65" s="2713" t="s">
        <v>545</v>
      </c>
      <c r="B65" s="109"/>
      <c r="C65" s="109"/>
      <c r="D65" s="109"/>
      <c r="E65" s="109"/>
      <c r="F65" s="109"/>
      <c r="G65" s="109"/>
      <c r="H65" s="109"/>
      <c r="I65" s="109"/>
      <c r="J65" s="109"/>
      <c r="K65" s="190"/>
      <c r="L65" s="284"/>
      <c r="M65" s="2731"/>
      <c r="N65" s="1908"/>
    </row>
    <row r="66" spans="1:14" ht="25.5" customHeight="1">
      <c r="M66" s="319"/>
    </row>
  </sheetData>
  <sheetProtection algorithmName="SHA-512" hashValue="kvtvGguHLfNfHtgmXM11yVkP3gB+PB5q1BVNf+sHFgzh+kIn1KGQCwAtNEAui37EvHaFdCbdO3A/ZAU287e4bQ==" saltValue="VKA2EL15BKKAX0RUasz0U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O216"/>
  <sheetViews>
    <sheetView zoomScale="85" zoomScaleNormal="85" workbookViewId="0">
      <pane xSplit="6" ySplit="4" topLeftCell="I194" activePane="bottomRight" state="frozen"/>
      <selection pane="topRight" activeCell="G1" sqref="G1"/>
      <selection pane="bottomLeft" activeCell="A5" sqref="A5"/>
      <selection pane="bottomRight" activeCell="J215" sqref="J215"/>
    </sheetView>
  </sheetViews>
  <sheetFormatPr defaultColWidth="9" defaultRowHeight="12" outlineLevelRow="1"/>
  <cols>
    <col min="1" max="1" width="14.265625" style="2852" customWidth="1"/>
    <col min="2" max="2" width="9.265625" style="2852" customWidth="1"/>
    <col min="3" max="3" width="64.86328125" style="2852" bestFit="1" customWidth="1"/>
    <col min="4" max="4" width="14" style="2852" hidden="1" customWidth="1"/>
    <col min="5" max="8" width="10.86328125" style="2852" hidden="1" customWidth="1"/>
    <col min="9" max="10" width="10.86328125" style="2852" customWidth="1"/>
    <col min="11" max="11" width="10.86328125" style="2891" bestFit="1" customWidth="1"/>
    <col min="12" max="12" width="11.86328125" style="2892" customWidth="1"/>
    <col min="13" max="13" width="11.59765625" style="2893" bestFit="1" customWidth="1"/>
    <col min="14" max="14" width="20.59765625" style="2894" bestFit="1" customWidth="1"/>
    <col min="15" max="16384" width="9" style="2852"/>
  </cols>
  <sheetData>
    <row r="1" spans="1:15" s="2841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837"/>
      <c r="L1" s="2838"/>
      <c r="M1" s="2839"/>
      <c r="N1" s="2840"/>
    </row>
    <row r="2" spans="1:15" s="2846" customFormat="1" ht="20.25" customHeight="1">
      <c r="A2" s="3280" t="s">
        <v>710</v>
      </c>
      <c r="B2" s="3280"/>
      <c r="C2" s="3281"/>
      <c r="D2" s="2969"/>
      <c r="E2" s="2969"/>
      <c r="F2" s="2969"/>
      <c r="G2" s="2969"/>
      <c r="H2" s="2969"/>
      <c r="I2" s="2969"/>
      <c r="J2" s="2969"/>
      <c r="K2" s="2842"/>
      <c r="L2" s="2843"/>
      <c r="M2" s="2844"/>
      <c r="N2" s="2845"/>
    </row>
    <row r="3" spans="1:15" ht="12.4" thickBot="1">
      <c r="A3" s="2847"/>
      <c r="B3" s="2847"/>
      <c r="C3" s="2847"/>
      <c r="D3" s="2847"/>
      <c r="E3" s="2847"/>
      <c r="F3" s="2847"/>
      <c r="G3" s="2847"/>
      <c r="H3" s="2847"/>
      <c r="I3" s="2847"/>
      <c r="J3" s="2847"/>
      <c r="K3" s="2848"/>
      <c r="L3" s="2849"/>
      <c r="M3" s="2850"/>
      <c r="N3" s="2851"/>
    </row>
    <row r="4" spans="1:15" ht="24.4" thickBot="1">
      <c r="A4" s="2808" t="s">
        <v>1</v>
      </c>
      <c r="B4" s="2809" t="s">
        <v>63</v>
      </c>
      <c r="C4" s="2810" t="s">
        <v>6</v>
      </c>
      <c r="D4" s="2811" t="s">
        <v>2352</v>
      </c>
      <c r="E4" s="2811" t="s">
        <v>1934</v>
      </c>
      <c r="F4" s="2811" t="s">
        <v>2644</v>
      </c>
      <c r="G4" s="2811" t="s">
        <v>2766</v>
      </c>
      <c r="H4" s="2811" t="s">
        <v>2107</v>
      </c>
      <c r="I4" s="2811" t="s">
        <v>2830</v>
      </c>
      <c r="J4" s="2811" t="s">
        <v>2855</v>
      </c>
      <c r="K4" s="2811" t="s">
        <v>2923</v>
      </c>
      <c r="L4" s="2812" t="s">
        <v>5</v>
      </c>
      <c r="M4" s="2807" t="s">
        <v>762</v>
      </c>
      <c r="N4" s="2851" t="s">
        <v>707</v>
      </c>
    </row>
    <row r="5" spans="1:15" ht="15.75" customHeight="1" outlineLevel="1">
      <c r="A5" s="2813">
        <v>6409</v>
      </c>
      <c r="B5" s="2814">
        <v>5169</v>
      </c>
      <c r="C5" s="2815" t="s">
        <v>2342</v>
      </c>
      <c r="D5" s="2816">
        <v>50000</v>
      </c>
      <c r="E5" s="2816">
        <v>50000</v>
      </c>
      <c r="F5" s="2816">
        <v>50000</v>
      </c>
      <c r="G5" s="2816">
        <v>50000</v>
      </c>
      <c r="H5" s="2816">
        <v>50000</v>
      </c>
      <c r="I5" s="2816">
        <v>50000</v>
      </c>
      <c r="J5" s="2816">
        <v>50000</v>
      </c>
      <c r="K5" s="2816">
        <f>+'[3]Všeob. pokladna'!$B$26</f>
        <v>50000</v>
      </c>
      <c r="L5" s="2817">
        <f>+K5-J5</f>
        <v>0</v>
      </c>
      <c r="M5" s="2850"/>
      <c r="N5" s="2851"/>
    </row>
    <row r="6" spans="1:15" ht="15.75" customHeight="1" outlineLevel="1">
      <c r="A6" s="2818">
        <v>6409</v>
      </c>
      <c r="B6" s="2819">
        <v>5169</v>
      </c>
      <c r="C6" s="2820" t="s">
        <v>2343</v>
      </c>
      <c r="D6" s="2821">
        <v>200000</v>
      </c>
      <c r="E6" s="2821">
        <v>200000</v>
      </c>
      <c r="F6" s="2821">
        <v>200000</v>
      </c>
      <c r="G6" s="2821">
        <v>200000</v>
      </c>
      <c r="H6" s="2821">
        <v>200000</v>
      </c>
      <c r="I6" s="2821">
        <v>200000</v>
      </c>
      <c r="J6" s="2821">
        <v>200000</v>
      </c>
      <c r="K6" s="2821">
        <f>+'[3]Všeob. pokladna'!$B$27</f>
        <v>32000</v>
      </c>
      <c r="L6" s="2822">
        <f t="shared" ref="L6:L69" si="0">+K6-J6</f>
        <v>-168000</v>
      </c>
      <c r="M6" s="2850"/>
      <c r="N6" s="2851"/>
    </row>
    <row r="7" spans="1:15" s="2858" customFormat="1" ht="16.5" customHeight="1" thickBot="1">
      <c r="A7" s="3296" t="s">
        <v>1197</v>
      </c>
      <c r="B7" s="3297"/>
      <c r="C7" s="2853"/>
      <c r="D7" s="2854">
        <v>250000</v>
      </c>
      <c r="E7" s="2854">
        <v>250000</v>
      </c>
      <c r="F7" s="2854">
        <v>250000</v>
      </c>
      <c r="G7" s="2854">
        <v>250000</v>
      </c>
      <c r="H7" s="2854">
        <v>250000</v>
      </c>
      <c r="I7" s="2854">
        <v>250000</v>
      </c>
      <c r="J7" s="2854">
        <v>250000</v>
      </c>
      <c r="K7" s="2854">
        <f t="shared" ref="K7" si="1">SUM(K5:K6)</f>
        <v>82000</v>
      </c>
      <c r="L7" s="2855">
        <f t="shared" si="0"/>
        <v>-168000</v>
      </c>
      <c r="M7" s="2856">
        <f>'Výdaje kapitol celkem'!P34</f>
        <v>82000</v>
      </c>
      <c r="N7" s="2857">
        <f>+M7-K7</f>
        <v>0</v>
      </c>
      <c r="O7" s="2160"/>
    </row>
    <row r="8" spans="1:15" ht="15.75" customHeight="1" outlineLevel="1">
      <c r="A8" s="2813">
        <v>6112</v>
      </c>
      <c r="B8" s="2814">
        <v>5169</v>
      </c>
      <c r="C8" s="2815" t="s">
        <v>1781</v>
      </c>
      <c r="D8" s="2816">
        <v>0</v>
      </c>
      <c r="E8" s="2816">
        <v>0</v>
      </c>
      <c r="F8" s="2816">
        <v>0</v>
      </c>
      <c r="G8" s="2816">
        <v>0</v>
      </c>
      <c r="H8" s="2816">
        <v>0</v>
      </c>
      <c r="I8" s="2816">
        <v>0</v>
      </c>
      <c r="J8" s="2816">
        <v>0</v>
      </c>
      <c r="K8" s="2816">
        <f>+[2]Zastupitelé!$B$52</f>
        <v>0</v>
      </c>
      <c r="L8" s="2817">
        <f t="shared" si="0"/>
        <v>0</v>
      </c>
      <c r="M8" s="2850"/>
      <c r="N8" s="2857"/>
    </row>
    <row r="9" spans="1:15" ht="15.75" customHeight="1" outlineLevel="1">
      <c r="A9" s="2818">
        <v>6112</v>
      </c>
      <c r="B9" s="2819">
        <v>5169</v>
      </c>
      <c r="C9" s="2820" t="s">
        <v>1782</v>
      </c>
      <c r="D9" s="2821">
        <v>50000</v>
      </c>
      <c r="E9" s="2821">
        <v>50000</v>
      </c>
      <c r="F9" s="2821">
        <v>50000</v>
      </c>
      <c r="G9" s="2821">
        <v>50000</v>
      </c>
      <c r="H9" s="2821">
        <v>50000</v>
      </c>
      <c r="I9" s="2821">
        <v>50000</v>
      </c>
      <c r="J9" s="2821">
        <v>50000</v>
      </c>
      <c r="K9" s="2821">
        <f>+[2]Zastupitelé!$B$53</f>
        <v>110000</v>
      </c>
      <c r="L9" s="2822">
        <f t="shared" si="0"/>
        <v>60000</v>
      </c>
      <c r="M9" s="2850"/>
      <c r="N9" s="2857"/>
    </row>
    <row r="10" spans="1:15" s="2858" customFormat="1" ht="16.5" customHeight="1" thickBot="1">
      <c r="A10" s="3296" t="s">
        <v>1196</v>
      </c>
      <c r="B10" s="3297"/>
      <c r="C10" s="2853"/>
      <c r="D10" s="2854">
        <v>50000</v>
      </c>
      <c r="E10" s="2854">
        <v>50000</v>
      </c>
      <c r="F10" s="2854">
        <v>50000</v>
      </c>
      <c r="G10" s="2854">
        <v>50000</v>
      </c>
      <c r="H10" s="2854">
        <v>50000</v>
      </c>
      <c r="I10" s="2854">
        <v>50000</v>
      </c>
      <c r="J10" s="2854">
        <v>50000</v>
      </c>
      <c r="K10" s="2854">
        <f t="shared" ref="K10" si="2">SUM(K8:K9)</f>
        <v>110000</v>
      </c>
      <c r="L10" s="2855">
        <f t="shared" si="0"/>
        <v>60000</v>
      </c>
      <c r="M10" s="2856">
        <f>'Výdaje kapitol celkem'!R34</f>
        <v>110000</v>
      </c>
      <c r="N10" s="2857">
        <f>+M10-K10</f>
        <v>0</v>
      </c>
      <c r="O10" s="2160"/>
    </row>
    <row r="11" spans="1:15" ht="15.75" customHeight="1" outlineLevel="1">
      <c r="A11" s="2813">
        <v>6117</v>
      </c>
      <c r="B11" s="2814">
        <v>5169</v>
      </c>
      <c r="C11" s="2815"/>
      <c r="D11" s="2816">
        <v>0</v>
      </c>
      <c r="E11" s="2816">
        <v>0</v>
      </c>
      <c r="F11" s="2816">
        <v>0</v>
      </c>
      <c r="G11" s="2816">
        <v>0</v>
      </c>
      <c r="H11" s="2816">
        <v>0</v>
      </c>
      <c r="I11" s="2816">
        <v>0</v>
      </c>
      <c r="J11" s="2816">
        <v>0</v>
      </c>
      <c r="K11" s="2816">
        <v>10000</v>
      </c>
      <c r="L11" s="2817">
        <f t="shared" si="0"/>
        <v>10000</v>
      </c>
      <c r="M11" s="2850"/>
      <c r="N11" s="2857"/>
    </row>
    <row r="12" spans="1:15" ht="15.75" customHeight="1" outlineLevel="1">
      <c r="A12" s="2818">
        <v>6117</v>
      </c>
      <c r="B12" s="2819">
        <v>5169</v>
      </c>
      <c r="C12" s="2820"/>
      <c r="D12" s="2821">
        <v>0</v>
      </c>
      <c r="E12" s="2821">
        <v>0</v>
      </c>
      <c r="F12" s="2821">
        <v>0</v>
      </c>
      <c r="G12" s="2821">
        <v>0</v>
      </c>
      <c r="H12" s="2821">
        <v>0</v>
      </c>
      <c r="I12" s="2821">
        <v>0</v>
      </c>
      <c r="J12" s="2821">
        <v>0</v>
      </c>
      <c r="K12" s="2821">
        <v>0</v>
      </c>
      <c r="L12" s="2822">
        <f t="shared" si="0"/>
        <v>0</v>
      </c>
      <c r="M12" s="2850"/>
      <c r="N12" s="2857"/>
    </row>
    <row r="13" spans="1:15" ht="15.75" customHeight="1" outlineLevel="1">
      <c r="A13" s="2818">
        <v>6117</v>
      </c>
      <c r="B13" s="2819">
        <v>5169</v>
      </c>
      <c r="C13" s="2820"/>
      <c r="D13" s="2821"/>
      <c r="E13" s="2821"/>
      <c r="F13" s="2821"/>
      <c r="G13" s="2821"/>
      <c r="H13" s="2821"/>
      <c r="I13" s="2821"/>
      <c r="J13" s="2821"/>
      <c r="K13" s="2821"/>
      <c r="L13" s="2822">
        <f t="shared" si="0"/>
        <v>0</v>
      </c>
      <c r="M13" s="2850"/>
      <c r="N13" s="2857"/>
    </row>
    <row r="14" spans="1:15" s="2858" customFormat="1" ht="16.5" customHeight="1" thickBot="1">
      <c r="A14" s="3296" t="s">
        <v>1195</v>
      </c>
      <c r="B14" s="3297"/>
      <c r="C14" s="2853"/>
      <c r="D14" s="2854">
        <v>0</v>
      </c>
      <c r="E14" s="2854">
        <v>0</v>
      </c>
      <c r="F14" s="2854">
        <v>0</v>
      </c>
      <c r="G14" s="2854">
        <v>0</v>
      </c>
      <c r="H14" s="2854">
        <v>0</v>
      </c>
      <c r="I14" s="2854">
        <v>0</v>
      </c>
      <c r="J14" s="2854">
        <v>0</v>
      </c>
      <c r="K14" s="2854">
        <f t="shared" ref="K14" si="3">SUM(K11:K13)</f>
        <v>10000</v>
      </c>
      <c r="L14" s="2855">
        <f t="shared" si="0"/>
        <v>10000</v>
      </c>
      <c r="M14" s="2856">
        <f>'Výdaje kapitol celkem'!S34</f>
        <v>10000</v>
      </c>
      <c r="N14" s="2857">
        <f>+M14-K14</f>
        <v>0</v>
      </c>
      <c r="O14" s="2160"/>
    </row>
    <row r="15" spans="1:15" ht="16.5" customHeight="1" outlineLevel="1">
      <c r="A15" s="2813">
        <v>6171</v>
      </c>
      <c r="B15" s="2814">
        <v>5169</v>
      </c>
      <c r="C15" s="2815" t="s">
        <v>1768</v>
      </c>
      <c r="D15" s="2816">
        <v>5000</v>
      </c>
      <c r="E15" s="2816">
        <v>5000</v>
      </c>
      <c r="F15" s="2816">
        <v>5000</v>
      </c>
      <c r="G15" s="2816">
        <v>5000</v>
      </c>
      <c r="H15" s="2816">
        <v>5000</v>
      </c>
      <c r="I15" s="2816">
        <v>5000</v>
      </c>
      <c r="J15" s="2816">
        <v>5000</v>
      </c>
      <c r="K15" s="2816">
        <f>+[3]Správa!$B$6</f>
        <v>5000</v>
      </c>
      <c r="L15" s="2817">
        <f t="shared" si="0"/>
        <v>0</v>
      </c>
      <c r="M15" s="2850"/>
      <c r="N15" s="2857"/>
    </row>
    <row r="16" spans="1:15" ht="36" outlineLevel="1">
      <c r="A16" s="2859">
        <v>6171</v>
      </c>
      <c r="B16" s="2860">
        <v>5169</v>
      </c>
      <c r="C16" s="2861" t="s">
        <v>1783</v>
      </c>
      <c r="D16" s="2821">
        <v>800000</v>
      </c>
      <c r="E16" s="2821">
        <v>800000</v>
      </c>
      <c r="F16" s="2821">
        <v>800000</v>
      </c>
      <c r="G16" s="2821">
        <v>800000</v>
      </c>
      <c r="H16" s="2821">
        <v>800000</v>
      </c>
      <c r="I16" s="2821">
        <v>800000</v>
      </c>
      <c r="J16" s="2821">
        <v>800000</v>
      </c>
      <c r="K16" s="2821">
        <f>+[2]Správa!$B$61</f>
        <v>1440000</v>
      </c>
      <c r="L16" s="2822">
        <f t="shared" si="0"/>
        <v>640000</v>
      </c>
      <c r="M16" s="2850"/>
      <c r="N16" s="2857"/>
    </row>
    <row r="17" spans="1:15" ht="16.5" customHeight="1" outlineLevel="1">
      <c r="A17" s="2818">
        <v>6171</v>
      </c>
      <c r="B17" s="2819">
        <v>5169</v>
      </c>
      <c r="C17" s="2820" t="s">
        <v>1784</v>
      </c>
      <c r="D17" s="2821">
        <v>200000</v>
      </c>
      <c r="E17" s="2821">
        <v>200000</v>
      </c>
      <c r="F17" s="2821">
        <v>200000</v>
      </c>
      <c r="G17" s="2821">
        <v>200000</v>
      </c>
      <c r="H17" s="2821">
        <v>200000</v>
      </c>
      <c r="I17" s="2821">
        <v>200000</v>
      </c>
      <c r="J17" s="2821">
        <v>200000</v>
      </c>
      <c r="K17" s="2821">
        <f>+[2]Správa!$B$62</f>
        <v>200000</v>
      </c>
      <c r="L17" s="2822">
        <f t="shared" si="0"/>
        <v>0</v>
      </c>
      <c r="M17" s="2850"/>
      <c r="N17" s="2857"/>
    </row>
    <row r="18" spans="1:15" ht="15.75" customHeight="1" outlineLevel="1">
      <c r="A18" s="2818">
        <v>6171</v>
      </c>
      <c r="B18" s="2819">
        <v>5169</v>
      </c>
      <c r="C18" s="2820" t="s">
        <v>1785</v>
      </c>
      <c r="D18" s="2821">
        <v>660000</v>
      </c>
      <c r="E18" s="2821">
        <v>660000</v>
      </c>
      <c r="F18" s="2821">
        <v>660000</v>
      </c>
      <c r="G18" s="2821">
        <v>660000</v>
      </c>
      <c r="H18" s="2821">
        <v>660000</v>
      </c>
      <c r="I18" s="2821">
        <v>660000</v>
      </c>
      <c r="J18" s="2821">
        <v>660000</v>
      </c>
      <c r="K18" s="2821">
        <f>+[2]Správa!$B$63</f>
        <v>660000</v>
      </c>
      <c r="L18" s="2822">
        <f t="shared" si="0"/>
        <v>0</v>
      </c>
      <c r="M18" s="2850"/>
      <c r="N18" s="2857"/>
    </row>
    <row r="19" spans="1:15" ht="15.75" customHeight="1" outlineLevel="1">
      <c r="A19" s="2818">
        <v>6171</v>
      </c>
      <c r="B19" s="2819">
        <v>5169</v>
      </c>
      <c r="C19" s="2820"/>
      <c r="D19" s="2821"/>
      <c r="E19" s="2821"/>
      <c r="F19" s="2821"/>
      <c r="G19" s="2821"/>
      <c r="H19" s="2821"/>
      <c r="I19" s="2821"/>
      <c r="J19" s="2821"/>
      <c r="K19" s="2821"/>
      <c r="L19" s="2822">
        <f t="shared" si="0"/>
        <v>0</v>
      </c>
      <c r="M19" s="2850"/>
      <c r="N19" s="2857"/>
    </row>
    <row r="20" spans="1:15" s="2858" customFormat="1" ht="16.5" customHeight="1" thickBot="1">
      <c r="A20" s="3296" t="s">
        <v>213</v>
      </c>
      <c r="B20" s="3297"/>
      <c r="C20" s="2853"/>
      <c r="D20" s="2854">
        <v>1665000</v>
      </c>
      <c r="E20" s="2854">
        <v>1665000</v>
      </c>
      <c r="F20" s="2854">
        <v>1665000</v>
      </c>
      <c r="G20" s="2854">
        <v>1665000</v>
      </c>
      <c r="H20" s="2854">
        <v>1665000</v>
      </c>
      <c r="I20" s="2854">
        <v>1665000</v>
      </c>
      <c r="J20" s="2854">
        <v>1665000</v>
      </c>
      <c r="K20" s="2854">
        <f t="shared" ref="K20" si="4">SUM(K15:K19)</f>
        <v>2305000</v>
      </c>
      <c r="L20" s="2855">
        <f t="shared" si="0"/>
        <v>640000</v>
      </c>
      <c r="M20" s="2856">
        <f>'Výdaje kapitol celkem'!T34</f>
        <v>2305000</v>
      </c>
      <c r="N20" s="2857">
        <f>+M20-K20</f>
        <v>0</v>
      </c>
      <c r="O20" s="2160"/>
    </row>
    <row r="21" spans="1:15" ht="15.75" customHeight="1" outlineLevel="1">
      <c r="A21" s="2813">
        <v>4351</v>
      </c>
      <c r="B21" s="2814">
        <v>5169</v>
      </c>
      <c r="C21" s="2815"/>
      <c r="D21" s="2816">
        <v>30000</v>
      </c>
      <c r="E21" s="2816">
        <v>30000</v>
      </c>
      <c r="F21" s="2816">
        <v>30000</v>
      </c>
      <c r="G21" s="2816">
        <v>30000</v>
      </c>
      <c r="H21" s="2816">
        <v>30000</v>
      </c>
      <c r="I21" s="2816">
        <v>30000</v>
      </c>
      <c r="J21" s="2816">
        <v>30000</v>
      </c>
      <c r="K21" s="2816">
        <f>+'[2]Pečovatelská služba'!$B$53</f>
        <v>30000</v>
      </c>
      <c r="L21" s="2817">
        <f t="shared" si="0"/>
        <v>0</v>
      </c>
      <c r="M21" s="2850"/>
      <c r="N21" s="2857"/>
      <c r="O21" s="2160"/>
    </row>
    <row r="22" spans="1:15" ht="15.75" customHeight="1" outlineLevel="1">
      <c r="A22" s="2818">
        <v>4351</v>
      </c>
      <c r="B22" s="2819">
        <v>5169</v>
      </c>
      <c r="C22" s="2820"/>
      <c r="D22" s="2821">
        <v>0</v>
      </c>
      <c r="E22" s="2821">
        <v>0</v>
      </c>
      <c r="F22" s="2821">
        <v>0</v>
      </c>
      <c r="G22" s="2821">
        <v>0</v>
      </c>
      <c r="H22" s="2821">
        <v>0</v>
      </c>
      <c r="I22" s="2821">
        <v>0</v>
      </c>
      <c r="J22" s="2821">
        <v>0</v>
      </c>
      <c r="K22" s="2821">
        <f>+'[2]Pečovatelská služba'!$B$54</f>
        <v>0</v>
      </c>
      <c r="L22" s="2828">
        <f t="shared" si="0"/>
        <v>0</v>
      </c>
      <c r="M22" s="2850"/>
      <c r="N22" s="2857"/>
      <c r="O22" s="2160"/>
    </row>
    <row r="23" spans="1:15" s="2858" customFormat="1" ht="16.5" customHeight="1" thickBot="1">
      <c r="A23" s="3296" t="s">
        <v>214</v>
      </c>
      <c r="B23" s="3297"/>
      <c r="C23" s="2853"/>
      <c r="D23" s="2854">
        <v>30000</v>
      </c>
      <c r="E23" s="2854">
        <v>30000</v>
      </c>
      <c r="F23" s="2854">
        <v>30000</v>
      </c>
      <c r="G23" s="2854">
        <v>30000</v>
      </c>
      <c r="H23" s="2854">
        <v>30000</v>
      </c>
      <c r="I23" s="2854">
        <v>30000</v>
      </c>
      <c r="J23" s="2854">
        <v>30000</v>
      </c>
      <c r="K23" s="2854">
        <f t="shared" ref="K23" si="5">SUM(K21:K22)</f>
        <v>30000</v>
      </c>
      <c r="L23" s="2855">
        <f t="shared" si="0"/>
        <v>0</v>
      </c>
      <c r="M23" s="2856">
        <f>'Výdaje kapitol celkem'!Y34</f>
        <v>30000</v>
      </c>
      <c r="N23" s="2857">
        <f>+M23-K23</f>
        <v>0</v>
      </c>
      <c r="O23" s="2160"/>
    </row>
    <row r="24" spans="1:15" ht="15.75" customHeight="1" outlineLevel="1">
      <c r="A24" s="2813" t="s">
        <v>2274</v>
      </c>
      <c r="B24" s="2814">
        <v>5169</v>
      </c>
      <c r="C24" s="2815"/>
      <c r="D24" s="2816">
        <v>600000</v>
      </c>
      <c r="E24" s="2816">
        <v>600000</v>
      </c>
      <c r="F24" s="2816">
        <v>600000</v>
      </c>
      <c r="G24" s="2816">
        <v>600000</v>
      </c>
      <c r="H24" s="2816">
        <v>600000</v>
      </c>
      <c r="I24" s="2816">
        <v>600000</v>
      </c>
      <c r="J24" s="2816">
        <v>600000</v>
      </c>
      <c r="K24" s="2816">
        <f>+'[2]Senior taxi'!$B$5</f>
        <v>560000</v>
      </c>
      <c r="L24" s="2817">
        <f t="shared" si="0"/>
        <v>-40000</v>
      </c>
      <c r="M24" s="2850"/>
      <c r="N24" s="2857"/>
      <c r="O24" s="2160"/>
    </row>
    <row r="25" spans="1:15" ht="15.75" customHeight="1" outlineLevel="1">
      <c r="A25" s="2818" t="s">
        <v>2274</v>
      </c>
      <c r="B25" s="2819">
        <v>5169</v>
      </c>
      <c r="C25" s="2820"/>
      <c r="D25" s="2821">
        <v>0</v>
      </c>
      <c r="E25" s="2821">
        <v>0</v>
      </c>
      <c r="F25" s="2821">
        <v>0</v>
      </c>
      <c r="G25" s="2821">
        <v>0</v>
      </c>
      <c r="H25" s="2821">
        <v>0</v>
      </c>
      <c r="I25" s="2821">
        <v>0</v>
      </c>
      <c r="J25" s="2821">
        <v>0</v>
      </c>
      <c r="K25" s="2821">
        <f>+'[2]Senior taxi'!$B$6</f>
        <v>0</v>
      </c>
      <c r="L25" s="2828">
        <f t="shared" si="0"/>
        <v>0</v>
      </c>
      <c r="M25" s="2850"/>
      <c r="N25" s="2857"/>
      <c r="O25" s="2160"/>
    </row>
    <row r="26" spans="1:15" s="2858" customFormat="1" ht="16.5" customHeight="1" thickBot="1">
      <c r="A26" s="3296" t="s">
        <v>2273</v>
      </c>
      <c r="B26" s="3297"/>
      <c r="C26" s="2853"/>
      <c r="D26" s="2854">
        <v>600000</v>
      </c>
      <c r="E26" s="2854">
        <v>600000</v>
      </c>
      <c r="F26" s="2854">
        <v>600000</v>
      </c>
      <c r="G26" s="2854">
        <v>600000</v>
      </c>
      <c r="H26" s="2854">
        <v>600000</v>
      </c>
      <c r="I26" s="2854">
        <v>600000</v>
      </c>
      <c r="J26" s="2854">
        <v>600000</v>
      </c>
      <c r="K26" s="2854">
        <f t="shared" ref="K26" si="6">SUM(K24:K25)</f>
        <v>560000</v>
      </c>
      <c r="L26" s="2855">
        <f t="shared" si="0"/>
        <v>-40000</v>
      </c>
      <c r="M26" s="2856">
        <f>+'Výdaje kapitol celkem'!Z34</f>
        <v>560000</v>
      </c>
      <c r="N26" s="2857">
        <f>+M26-K26</f>
        <v>0</v>
      </c>
      <c r="O26" s="2160"/>
    </row>
    <row r="27" spans="1:15" ht="15.75" customHeight="1" outlineLevel="1">
      <c r="A27" s="2813">
        <v>5311</v>
      </c>
      <c r="B27" s="2814">
        <v>5169</v>
      </c>
      <c r="C27" s="2815"/>
      <c r="D27" s="2816">
        <v>300000</v>
      </c>
      <c r="E27" s="2816">
        <v>300000</v>
      </c>
      <c r="F27" s="2816">
        <v>300000</v>
      </c>
      <c r="G27" s="2816">
        <v>300000</v>
      </c>
      <c r="H27" s="2816">
        <v>300000</v>
      </c>
      <c r="I27" s="2816">
        <v>300000</v>
      </c>
      <c r="J27" s="2816">
        <v>300000</v>
      </c>
      <c r="K27" s="2816">
        <f>+'[2]Agentura SCSA'!$B$5</f>
        <v>300000</v>
      </c>
      <c r="L27" s="2817">
        <f t="shared" si="0"/>
        <v>0</v>
      </c>
      <c r="M27" s="2850"/>
      <c r="N27" s="2857"/>
      <c r="O27" s="2160"/>
    </row>
    <row r="28" spans="1:15" ht="15.75" customHeight="1" outlineLevel="1">
      <c r="A28" s="2818">
        <v>5311</v>
      </c>
      <c r="B28" s="2819">
        <v>5169</v>
      </c>
      <c r="C28" s="2820"/>
      <c r="D28" s="2821">
        <v>0</v>
      </c>
      <c r="E28" s="2821">
        <v>0</v>
      </c>
      <c r="F28" s="2821">
        <v>0</v>
      </c>
      <c r="G28" s="2821">
        <v>0</v>
      </c>
      <c r="H28" s="2821">
        <v>0</v>
      </c>
      <c r="I28" s="2821">
        <v>0</v>
      </c>
      <c r="J28" s="2821">
        <v>0</v>
      </c>
      <c r="K28" s="2821">
        <f>+'[2]Agentura SCSA'!$B$6</f>
        <v>0</v>
      </c>
      <c r="L28" s="2828">
        <f t="shared" si="0"/>
        <v>0</v>
      </c>
      <c r="M28" s="2850"/>
      <c r="N28" s="2857"/>
      <c r="O28" s="2160"/>
    </row>
    <row r="29" spans="1:15" s="2858" customFormat="1" ht="21.75" customHeight="1" thickBot="1">
      <c r="A29" s="3296" t="s">
        <v>1198</v>
      </c>
      <c r="B29" s="3297"/>
      <c r="C29" s="2853"/>
      <c r="D29" s="2854">
        <v>300000</v>
      </c>
      <c r="E29" s="2854">
        <v>300000</v>
      </c>
      <c r="F29" s="2854">
        <v>300000</v>
      </c>
      <c r="G29" s="2854">
        <v>300000</v>
      </c>
      <c r="H29" s="2854">
        <v>300000</v>
      </c>
      <c r="I29" s="2854">
        <v>300000</v>
      </c>
      <c r="J29" s="2854">
        <v>300000</v>
      </c>
      <c r="K29" s="2854">
        <f t="shared" ref="K29" si="7">SUM(K27:K28)</f>
        <v>300000</v>
      </c>
      <c r="L29" s="2855">
        <f t="shared" si="0"/>
        <v>0</v>
      </c>
      <c r="M29" s="2856">
        <f>'Výdaje kapitol celkem'!AA34</f>
        <v>300000</v>
      </c>
      <c r="N29" s="2857">
        <f>+M29-K29</f>
        <v>0</v>
      </c>
      <c r="O29" s="2160"/>
    </row>
    <row r="30" spans="1:15" ht="15.75" customHeight="1" outlineLevel="1">
      <c r="A30" s="2813" t="s">
        <v>197</v>
      </c>
      <c r="B30" s="2814">
        <v>5169</v>
      </c>
      <c r="C30" s="2815" t="s">
        <v>2218</v>
      </c>
      <c r="D30" s="2816">
        <v>40000</v>
      </c>
      <c r="E30" s="2816">
        <v>40000</v>
      </c>
      <c r="F30" s="2816">
        <v>40000</v>
      </c>
      <c r="G30" s="2816">
        <v>40000</v>
      </c>
      <c r="H30" s="2816">
        <v>40000</v>
      </c>
      <c r="I30" s="2816">
        <v>40000</v>
      </c>
      <c r="J30" s="2816">
        <v>40000</v>
      </c>
      <c r="K30" s="2816">
        <f>+'[2]Městská policie'!$B$78</f>
        <v>40000</v>
      </c>
      <c r="L30" s="2817">
        <f t="shared" si="0"/>
        <v>0</v>
      </c>
      <c r="M30" s="2850"/>
      <c r="N30" s="2857"/>
      <c r="O30" s="2160"/>
    </row>
    <row r="31" spans="1:15" ht="15.75" customHeight="1" outlineLevel="1">
      <c r="A31" s="2818" t="s">
        <v>197</v>
      </c>
      <c r="B31" s="2819">
        <v>5169</v>
      </c>
      <c r="C31" s="2820" t="s">
        <v>2219</v>
      </c>
      <c r="D31" s="2821">
        <v>50000</v>
      </c>
      <c r="E31" s="2821">
        <v>50000</v>
      </c>
      <c r="F31" s="2821">
        <v>50000</v>
      </c>
      <c r="G31" s="2821">
        <v>50000</v>
      </c>
      <c r="H31" s="2821">
        <v>50000</v>
      </c>
      <c r="I31" s="2821">
        <v>50000</v>
      </c>
      <c r="J31" s="2821">
        <v>50000</v>
      </c>
      <c r="K31" s="2821">
        <f>+'[2]Městská policie'!$B$79</f>
        <v>40000</v>
      </c>
      <c r="L31" s="2822">
        <f t="shared" si="0"/>
        <v>-10000</v>
      </c>
      <c r="M31" s="2850"/>
      <c r="N31" s="2857"/>
      <c r="O31" s="2160"/>
    </row>
    <row r="32" spans="1:15" ht="15.75" customHeight="1" outlineLevel="1">
      <c r="A32" s="2818" t="s">
        <v>197</v>
      </c>
      <c r="B32" s="2819">
        <v>5169</v>
      </c>
      <c r="C32" s="2820" t="s">
        <v>1786</v>
      </c>
      <c r="D32" s="2821">
        <v>80000</v>
      </c>
      <c r="E32" s="2821">
        <v>80000</v>
      </c>
      <c r="F32" s="2821">
        <v>80000</v>
      </c>
      <c r="G32" s="2821">
        <v>80000</v>
      </c>
      <c r="H32" s="2821">
        <v>80000</v>
      </c>
      <c r="I32" s="2821">
        <v>80000</v>
      </c>
      <c r="J32" s="2821">
        <v>80000</v>
      </c>
      <c r="K32" s="2821">
        <f>+'[2]Městská policie'!$B$80</f>
        <v>42000</v>
      </c>
      <c r="L32" s="2828">
        <f t="shared" si="0"/>
        <v>-38000</v>
      </c>
      <c r="M32" s="2850"/>
      <c r="N32" s="2857"/>
      <c r="O32" s="2160"/>
    </row>
    <row r="33" spans="1:15" s="2858" customFormat="1" ht="22.5" customHeight="1" thickBot="1">
      <c r="A33" s="3296" t="s">
        <v>1169</v>
      </c>
      <c r="B33" s="3297"/>
      <c r="C33" s="2853"/>
      <c r="D33" s="2854">
        <v>170000</v>
      </c>
      <c r="E33" s="2854">
        <v>170000</v>
      </c>
      <c r="F33" s="2854">
        <v>170000</v>
      </c>
      <c r="G33" s="2854">
        <v>170000</v>
      </c>
      <c r="H33" s="2854">
        <v>170000</v>
      </c>
      <c r="I33" s="2854">
        <v>170000</v>
      </c>
      <c r="J33" s="2854">
        <v>170000</v>
      </c>
      <c r="K33" s="2854">
        <f t="shared" ref="K33" si="8">SUM(K30:K32)</f>
        <v>122000</v>
      </c>
      <c r="L33" s="2855">
        <f t="shared" si="0"/>
        <v>-48000</v>
      </c>
      <c r="M33" s="2856">
        <f>'Výdaje kapitol celkem'!AB34</f>
        <v>122000</v>
      </c>
      <c r="N33" s="2857">
        <f>+M33-K33</f>
        <v>0</v>
      </c>
      <c r="O33" s="2160"/>
    </row>
    <row r="34" spans="1:15" ht="15.75" customHeight="1" outlineLevel="1">
      <c r="A34" s="2813">
        <v>3319</v>
      </c>
      <c r="B34" s="2814">
        <v>5169</v>
      </c>
      <c r="C34" s="2815" t="s">
        <v>1787</v>
      </c>
      <c r="D34" s="2816">
        <v>50000</v>
      </c>
      <c r="E34" s="2816">
        <v>50000</v>
      </c>
      <c r="F34" s="2816">
        <v>50000</v>
      </c>
      <c r="G34" s="2816">
        <v>50000</v>
      </c>
      <c r="H34" s="2816">
        <v>50000</v>
      </c>
      <c r="I34" s="2816">
        <v>50000</v>
      </c>
      <c r="J34" s="2816">
        <v>50000</v>
      </c>
      <c r="K34" s="2816">
        <f>+[2]Kronika!$B$19</f>
        <v>1000</v>
      </c>
      <c r="L34" s="2817">
        <f t="shared" si="0"/>
        <v>-49000</v>
      </c>
      <c r="M34" s="2850"/>
      <c r="N34" s="2857"/>
      <c r="O34" s="2160"/>
    </row>
    <row r="35" spans="1:15" ht="15.75" customHeight="1" outlineLevel="1">
      <c r="A35" s="2818">
        <v>3319</v>
      </c>
      <c r="B35" s="2819">
        <v>5169</v>
      </c>
      <c r="C35" s="2820" t="s">
        <v>1788</v>
      </c>
      <c r="D35" s="2821">
        <v>50000</v>
      </c>
      <c r="E35" s="2821">
        <v>50000</v>
      </c>
      <c r="F35" s="2821">
        <v>50000</v>
      </c>
      <c r="G35" s="2821">
        <v>50000</v>
      </c>
      <c r="H35" s="2821">
        <v>50000</v>
      </c>
      <c r="I35" s="2821">
        <v>50000</v>
      </c>
      <c r="J35" s="2821">
        <v>50000</v>
      </c>
      <c r="K35" s="2821">
        <f>+[2]Kronika!$B$20</f>
        <v>1000</v>
      </c>
      <c r="L35" s="2828">
        <f t="shared" si="0"/>
        <v>-49000</v>
      </c>
      <c r="M35" s="2850"/>
      <c r="N35" s="2857"/>
      <c r="O35" s="2160"/>
    </row>
    <row r="36" spans="1:15" s="2858" customFormat="1" ht="16.5" customHeight="1" thickBot="1">
      <c r="A36" s="3296" t="s">
        <v>1168</v>
      </c>
      <c r="B36" s="3297"/>
      <c r="C36" s="2853"/>
      <c r="D36" s="2854">
        <v>100000</v>
      </c>
      <c r="E36" s="2854">
        <v>100000</v>
      </c>
      <c r="F36" s="2854">
        <v>100000</v>
      </c>
      <c r="G36" s="2854">
        <v>100000</v>
      </c>
      <c r="H36" s="2854">
        <v>100000</v>
      </c>
      <c r="I36" s="2854">
        <v>100000</v>
      </c>
      <c r="J36" s="2854">
        <v>100000</v>
      </c>
      <c r="K36" s="2854">
        <f t="shared" ref="K36" si="9">SUM(K34:K35)</f>
        <v>2000</v>
      </c>
      <c r="L36" s="2855">
        <f t="shared" si="0"/>
        <v>-98000</v>
      </c>
      <c r="M36" s="2856">
        <f>'Výdaje kapitol celkem'!AC34</f>
        <v>2000</v>
      </c>
      <c r="N36" s="2857">
        <f>+M36-K36</f>
        <v>0</v>
      </c>
      <c r="O36" s="2160"/>
    </row>
    <row r="37" spans="1:15" ht="15.75" customHeight="1" outlineLevel="1">
      <c r="A37" s="2813">
        <v>3314</v>
      </c>
      <c r="B37" s="2814">
        <v>5169</v>
      </c>
      <c r="C37" s="2815"/>
      <c r="D37" s="2816"/>
      <c r="E37" s="2816"/>
      <c r="F37" s="2816"/>
      <c r="G37" s="2816"/>
      <c r="H37" s="2816"/>
      <c r="I37" s="2816"/>
      <c r="J37" s="2816"/>
      <c r="K37" s="2816"/>
      <c r="L37" s="2817">
        <f t="shared" si="0"/>
        <v>0</v>
      </c>
      <c r="M37" s="2850"/>
      <c r="N37" s="2857"/>
      <c r="O37" s="2160"/>
    </row>
    <row r="38" spans="1:15" ht="15.75" customHeight="1" outlineLevel="1">
      <c r="A38" s="2818">
        <v>3314</v>
      </c>
      <c r="B38" s="2819">
        <v>5169</v>
      </c>
      <c r="C38" s="2820"/>
      <c r="D38" s="2821">
        <v>0</v>
      </c>
      <c r="E38" s="2821">
        <v>0</v>
      </c>
      <c r="F38" s="2821">
        <v>15000</v>
      </c>
      <c r="G38" s="2821">
        <v>15000</v>
      </c>
      <c r="H38" s="2821">
        <v>15000</v>
      </c>
      <c r="I38" s="2821">
        <v>15000</v>
      </c>
      <c r="J38" s="2821">
        <v>15000</v>
      </c>
      <c r="K38" s="2821">
        <f>+[3]Knihovna!$B$20</f>
        <v>15000</v>
      </c>
      <c r="L38" s="2828">
        <f t="shared" si="0"/>
        <v>0</v>
      </c>
      <c r="M38" s="2850"/>
      <c r="N38" s="2857"/>
      <c r="O38" s="2160"/>
    </row>
    <row r="39" spans="1:15" ht="15.75" customHeight="1" outlineLevel="1">
      <c r="A39" s="2818">
        <v>3314</v>
      </c>
      <c r="B39" s="2819">
        <v>5169</v>
      </c>
      <c r="C39" s="2862" t="s">
        <v>2384</v>
      </c>
      <c r="D39" s="2829">
        <v>40000</v>
      </c>
      <c r="E39" s="2829">
        <v>40000</v>
      </c>
      <c r="F39" s="2829">
        <v>40000</v>
      </c>
      <c r="G39" s="2829">
        <v>40000</v>
      </c>
      <c r="H39" s="2829">
        <v>40000</v>
      </c>
      <c r="I39" s="2829">
        <v>40000</v>
      </c>
      <c r="J39" s="2829">
        <v>40000</v>
      </c>
      <c r="K39" s="2829">
        <f>+[2]Knihovna!$B$62</f>
        <v>122000</v>
      </c>
      <c r="L39" s="2863">
        <f t="shared" si="0"/>
        <v>82000</v>
      </c>
      <c r="M39" s="2850"/>
      <c r="N39" s="2857"/>
      <c r="O39" s="2160"/>
    </row>
    <row r="40" spans="1:15" ht="15.75" customHeight="1" outlineLevel="1">
      <c r="A40" s="2818">
        <v>3314</v>
      </c>
      <c r="B40" s="2819">
        <v>5169</v>
      </c>
      <c r="C40" s="2864" t="s">
        <v>2695</v>
      </c>
      <c r="D40" s="2829">
        <v>10000</v>
      </c>
      <c r="E40" s="2829">
        <v>10000</v>
      </c>
      <c r="F40" s="2829">
        <v>35000</v>
      </c>
      <c r="G40" s="2829">
        <v>35000</v>
      </c>
      <c r="H40" s="2829">
        <v>35000</v>
      </c>
      <c r="I40" s="2829">
        <v>35000</v>
      </c>
      <c r="J40" s="2829">
        <v>35000</v>
      </c>
      <c r="K40" s="2829">
        <f>+[2]Knihovna!$B$63</f>
        <v>35000</v>
      </c>
      <c r="L40" s="2863">
        <f t="shared" si="0"/>
        <v>0</v>
      </c>
      <c r="M40" s="2850"/>
      <c r="N40" s="2857"/>
      <c r="O40" s="2160"/>
    </row>
    <row r="41" spans="1:15" ht="15.75" customHeight="1" outlineLevel="1">
      <c r="A41" s="2865"/>
      <c r="B41" s="2866"/>
      <c r="C41" s="2830" t="s">
        <v>2385</v>
      </c>
      <c r="D41" s="2831">
        <v>20000</v>
      </c>
      <c r="E41" s="2831">
        <v>20000</v>
      </c>
      <c r="F41" s="2831">
        <v>20000</v>
      </c>
      <c r="G41" s="2831">
        <v>20000</v>
      </c>
      <c r="H41" s="2831">
        <v>20000</v>
      </c>
      <c r="I41" s="2831">
        <v>20000</v>
      </c>
      <c r="J41" s="2831">
        <v>20000</v>
      </c>
      <c r="K41" s="2831">
        <f>+[2]Knihovna!$B$64</f>
        <v>20000</v>
      </c>
      <c r="L41" s="2867">
        <f t="shared" si="0"/>
        <v>0</v>
      </c>
      <c r="M41" s="2850"/>
      <c r="N41" s="2857"/>
      <c r="O41" s="2160"/>
    </row>
    <row r="42" spans="1:15" s="2858" customFormat="1" ht="16.5" customHeight="1" thickBot="1">
      <c r="A42" s="3296" t="s">
        <v>1170</v>
      </c>
      <c r="B42" s="3297"/>
      <c r="C42" s="2853"/>
      <c r="D42" s="2854">
        <v>70000</v>
      </c>
      <c r="E42" s="2854">
        <v>70000</v>
      </c>
      <c r="F42" s="2854">
        <v>110000</v>
      </c>
      <c r="G42" s="2854">
        <v>110000</v>
      </c>
      <c r="H42" s="2854">
        <v>110000</v>
      </c>
      <c r="I42" s="2854">
        <v>110000</v>
      </c>
      <c r="J42" s="2854">
        <v>110000</v>
      </c>
      <c r="K42" s="2854">
        <f>SUM(K37:K41)</f>
        <v>192000</v>
      </c>
      <c r="L42" s="2855">
        <f t="shared" si="0"/>
        <v>82000</v>
      </c>
      <c r="M42" s="2856">
        <f>'Výdaje kapitol celkem'!AF34</f>
        <v>192000</v>
      </c>
      <c r="N42" s="2857">
        <f>+M42-K42</f>
        <v>0</v>
      </c>
      <c r="O42" s="2160"/>
    </row>
    <row r="43" spans="1:15" ht="15.75" customHeight="1" outlineLevel="1">
      <c r="A43" s="2813">
        <v>3349</v>
      </c>
      <c r="B43" s="2814">
        <v>5169</v>
      </c>
      <c r="C43" s="2815" t="s">
        <v>1789</v>
      </c>
      <c r="D43" s="2816">
        <v>550000</v>
      </c>
      <c r="E43" s="2816">
        <v>550000</v>
      </c>
      <c r="F43" s="2816">
        <v>550000</v>
      </c>
      <c r="G43" s="2816">
        <v>550000</v>
      </c>
      <c r="H43" s="2816">
        <v>550000</v>
      </c>
      <c r="I43" s="2816">
        <v>550000</v>
      </c>
      <c r="J43" s="2816">
        <v>550000</v>
      </c>
      <c r="K43" s="2816">
        <f>+'[2]Život Úval'!$B$12</f>
        <v>530000</v>
      </c>
      <c r="L43" s="2817">
        <f t="shared" si="0"/>
        <v>-20000</v>
      </c>
      <c r="M43" s="2850"/>
      <c r="N43" s="2857"/>
      <c r="O43" s="2160"/>
    </row>
    <row r="44" spans="1:15" ht="15.75" customHeight="1" outlineLevel="1">
      <c r="A44" s="2865">
        <v>3349</v>
      </c>
      <c r="B44" s="2866">
        <v>5169</v>
      </c>
      <c r="C44" s="2830"/>
      <c r="D44" s="2831">
        <v>0</v>
      </c>
      <c r="E44" s="2831">
        <v>0</v>
      </c>
      <c r="F44" s="2831">
        <v>0</v>
      </c>
      <c r="G44" s="2831">
        <v>0</v>
      </c>
      <c r="H44" s="2831">
        <v>0</v>
      </c>
      <c r="I44" s="2831">
        <v>0</v>
      </c>
      <c r="J44" s="2831">
        <v>0</v>
      </c>
      <c r="K44" s="2831">
        <f>+'[2]Život Úval'!$B$13</f>
        <v>0</v>
      </c>
      <c r="L44" s="2832">
        <f t="shared" si="0"/>
        <v>0</v>
      </c>
      <c r="M44" s="2850"/>
      <c r="N44" s="2857"/>
      <c r="O44" s="2160"/>
    </row>
    <row r="45" spans="1:15" s="2858" customFormat="1" ht="16.5" customHeight="1" thickBot="1">
      <c r="A45" s="3296" t="s">
        <v>1194</v>
      </c>
      <c r="B45" s="3297"/>
      <c r="C45" s="2853"/>
      <c r="D45" s="2854">
        <v>550000</v>
      </c>
      <c r="E45" s="2854">
        <v>550000</v>
      </c>
      <c r="F45" s="2854">
        <v>550000</v>
      </c>
      <c r="G45" s="2854">
        <v>550000</v>
      </c>
      <c r="H45" s="2854">
        <v>550000</v>
      </c>
      <c r="I45" s="2854">
        <v>550000</v>
      </c>
      <c r="J45" s="2854">
        <v>550000</v>
      </c>
      <c r="K45" s="2854">
        <f>SUM(K43:K44)</f>
        <v>530000</v>
      </c>
      <c r="L45" s="2855">
        <f t="shared" si="0"/>
        <v>-20000</v>
      </c>
      <c r="M45" s="2856">
        <f>'Výdaje kapitol celkem'!AG34</f>
        <v>530000</v>
      </c>
      <c r="N45" s="2857">
        <f>+M45-K45</f>
        <v>0</v>
      </c>
      <c r="O45" s="2160"/>
    </row>
    <row r="46" spans="1:15" ht="15.75" customHeight="1" outlineLevel="1">
      <c r="A46" s="2813">
        <v>3359</v>
      </c>
      <c r="B46" s="2814">
        <v>5169</v>
      </c>
      <c r="C46" s="2815" t="s">
        <v>1790</v>
      </c>
      <c r="D46" s="2816">
        <v>220000</v>
      </c>
      <c r="E46" s="2816">
        <v>220000</v>
      </c>
      <c r="F46" s="2816">
        <v>220000</v>
      </c>
      <c r="G46" s="2816">
        <v>220000</v>
      </c>
      <c r="H46" s="2816">
        <v>220000</v>
      </c>
      <c r="I46" s="2816">
        <v>220000</v>
      </c>
      <c r="J46" s="2816">
        <v>220000</v>
      </c>
      <c r="K46" s="2816">
        <f>+[2]Kultura!$B$29</f>
        <v>120000</v>
      </c>
      <c r="L46" s="2817">
        <f t="shared" si="0"/>
        <v>-100000</v>
      </c>
      <c r="M46" s="2850"/>
      <c r="N46" s="2857"/>
      <c r="O46" s="2160"/>
    </row>
    <row r="47" spans="1:15" ht="15.75" customHeight="1" outlineLevel="1">
      <c r="A47" s="2818">
        <v>3359</v>
      </c>
      <c r="B47" s="2819">
        <v>5169</v>
      </c>
      <c r="C47" s="2820" t="s">
        <v>1791</v>
      </c>
      <c r="D47" s="2821">
        <v>220000</v>
      </c>
      <c r="E47" s="2821">
        <v>220000</v>
      </c>
      <c r="F47" s="2821">
        <v>220000</v>
      </c>
      <c r="G47" s="2821">
        <v>220000</v>
      </c>
      <c r="H47" s="2821">
        <v>220000</v>
      </c>
      <c r="I47" s="2821">
        <v>220000</v>
      </c>
      <c r="J47" s="2821">
        <v>220000</v>
      </c>
      <c r="K47" s="2821">
        <f>+[2]Kultura!$B$30</f>
        <v>120000</v>
      </c>
      <c r="L47" s="2822">
        <f t="shared" si="0"/>
        <v>-100000</v>
      </c>
      <c r="M47" s="2850"/>
      <c r="N47" s="2857"/>
      <c r="O47" s="2160"/>
    </row>
    <row r="48" spans="1:15" ht="15.75" customHeight="1" outlineLevel="1">
      <c r="A48" s="2818">
        <v>3359</v>
      </c>
      <c r="B48" s="2819">
        <v>5169</v>
      </c>
      <c r="C48" s="2820" t="s">
        <v>1792</v>
      </c>
      <c r="D48" s="2821">
        <v>150000</v>
      </c>
      <c r="E48" s="2821">
        <v>150000</v>
      </c>
      <c r="F48" s="2821">
        <v>150000</v>
      </c>
      <c r="G48" s="2821">
        <v>150000</v>
      </c>
      <c r="H48" s="2821">
        <v>150000</v>
      </c>
      <c r="I48" s="2821">
        <v>150000</v>
      </c>
      <c r="J48" s="2821">
        <v>150000</v>
      </c>
      <c r="K48" s="2821">
        <f>+[2]Kultura!$B$31</f>
        <v>150000</v>
      </c>
      <c r="L48" s="2822">
        <f t="shared" si="0"/>
        <v>0</v>
      </c>
      <c r="M48" s="2850"/>
      <c r="N48" s="2857"/>
      <c r="O48" s="2160"/>
    </row>
    <row r="49" spans="1:15" ht="18" customHeight="1" outlineLevel="1">
      <c r="A49" s="2868">
        <v>3359</v>
      </c>
      <c r="B49" s="2866">
        <v>5169</v>
      </c>
      <c r="C49" s="2869" t="s">
        <v>1793</v>
      </c>
      <c r="D49" s="2829">
        <v>150000</v>
      </c>
      <c r="E49" s="2829">
        <v>150000</v>
      </c>
      <c r="F49" s="2829">
        <v>150000</v>
      </c>
      <c r="G49" s="2829">
        <v>150000</v>
      </c>
      <c r="H49" s="2829">
        <v>150000</v>
      </c>
      <c r="I49" s="2829">
        <v>150000</v>
      </c>
      <c r="J49" s="2829">
        <v>150000</v>
      </c>
      <c r="K49" s="2829">
        <f>+[2]Kultura!$B$32</f>
        <v>150000</v>
      </c>
      <c r="L49" s="2870">
        <f t="shared" si="0"/>
        <v>0</v>
      </c>
      <c r="M49" s="2850"/>
      <c r="N49" s="2857"/>
      <c r="O49" s="2160"/>
    </row>
    <row r="50" spans="1:15" ht="18" customHeight="1" outlineLevel="1">
      <c r="A50" s="2868">
        <v>3359</v>
      </c>
      <c r="B50" s="2866">
        <v>5169</v>
      </c>
      <c r="C50" s="2869" t="s">
        <v>1794</v>
      </c>
      <c r="D50" s="2829">
        <v>40000</v>
      </c>
      <c r="E50" s="2829">
        <v>40000</v>
      </c>
      <c r="F50" s="2829">
        <v>40000</v>
      </c>
      <c r="G50" s="2829">
        <v>40000</v>
      </c>
      <c r="H50" s="2829">
        <v>40000</v>
      </c>
      <c r="I50" s="2829">
        <v>40000</v>
      </c>
      <c r="J50" s="2829">
        <v>40000</v>
      </c>
      <c r="K50" s="2829">
        <f>+[2]Kultura!$B$33</f>
        <v>40000</v>
      </c>
      <c r="L50" s="2870">
        <f t="shared" si="0"/>
        <v>0</v>
      </c>
      <c r="M50" s="2850"/>
      <c r="N50" s="2857"/>
      <c r="O50" s="2160"/>
    </row>
    <row r="51" spans="1:15" ht="16.5" customHeight="1" outlineLevel="1">
      <c r="A51" s="2868">
        <v>3359</v>
      </c>
      <c r="B51" s="2866">
        <v>5169</v>
      </c>
      <c r="C51" s="2869" t="s">
        <v>1795</v>
      </c>
      <c r="D51" s="2829">
        <v>320000</v>
      </c>
      <c r="E51" s="2829">
        <v>320000</v>
      </c>
      <c r="F51" s="2829">
        <v>320000</v>
      </c>
      <c r="G51" s="2829">
        <v>320000</v>
      </c>
      <c r="H51" s="2829">
        <v>320000</v>
      </c>
      <c r="I51" s="2829">
        <v>320000</v>
      </c>
      <c r="J51" s="2829">
        <v>320000</v>
      </c>
      <c r="K51" s="2829">
        <f>+[2]Kultura!$B$34</f>
        <v>290000</v>
      </c>
      <c r="L51" s="2870">
        <f t="shared" si="0"/>
        <v>-30000</v>
      </c>
      <c r="M51" s="2850"/>
      <c r="N51" s="2857"/>
      <c r="O51" s="2160"/>
    </row>
    <row r="52" spans="1:15" s="2858" customFormat="1" ht="16.5" customHeight="1" thickBot="1">
      <c r="A52" s="3296" t="s">
        <v>1193</v>
      </c>
      <c r="B52" s="3297"/>
      <c r="C52" s="2853"/>
      <c r="D52" s="2854">
        <v>1100000</v>
      </c>
      <c r="E52" s="2854">
        <v>1100000</v>
      </c>
      <c r="F52" s="2854">
        <v>1100000</v>
      </c>
      <c r="G52" s="2854">
        <v>1100000</v>
      </c>
      <c r="H52" s="2854">
        <v>1100000</v>
      </c>
      <c r="I52" s="2854">
        <v>1100000</v>
      </c>
      <c r="J52" s="2854">
        <v>1100000</v>
      </c>
      <c r="K52" s="2854">
        <f t="shared" ref="K52" si="10">SUM(K46:K51)</f>
        <v>870000</v>
      </c>
      <c r="L52" s="2855">
        <f t="shared" si="0"/>
        <v>-230000</v>
      </c>
      <c r="M52" s="2856">
        <f>'Výdaje kapitol celkem'!AH34</f>
        <v>870000</v>
      </c>
      <c r="N52" s="2857">
        <f>+M52-K52</f>
        <v>0</v>
      </c>
      <c r="O52" s="2160"/>
    </row>
    <row r="53" spans="1:15" ht="28.5" customHeight="1" outlineLevel="1">
      <c r="A53" s="2813">
        <v>3612</v>
      </c>
      <c r="B53" s="2814">
        <v>5169</v>
      </c>
      <c r="C53" s="2815" t="s">
        <v>2183</v>
      </c>
      <c r="D53" s="2816">
        <v>1170000</v>
      </c>
      <c r="E53" s="2816">
        <v>1170000</v>
      </c>
      <c r="F53" s="2816">
        <v>1170000</v>
      </c>
      <c r="G53" s="2816">
        <v>1170000</v>
      </c>
      <c r="H53" s="2816">
        <v>1170000</v>
      </c>
      <c r="I53" s="2816">
        <v>1170000</v>
      </c>
      <c r="J53" s="2816">
        <v>1170000</v>
      </c>
      <c r="K53" s="2816">
        <f>+[3]Byty!$B$26</f>
        <v>2050000</v>
      </c>
      <c r="L53" s="2817">
        <f t="shared" si="0"/>
        <v>880000</v>
      </c>
      <c r="M53" s="2850"/>
      <c r="N53" s="2857"/>
      <c r="O53" s="2160"/>
    </row>
    <row r="54" spans="1:15" ht="18.75" customHeight="1" outlineLevel="1">
      <c r="A54" s="2818">
        <v>3612</v>
      </c>
      <c r="B54" s="2819">
        <v>5169</v>
      </c>
      <c r="C54" s="2820" t="s">
        <v>1761</v>
      </c>
      <c r="D54" s="2821">
        <v>250000</v>
      </c>
      <c r="E54" s="2821">
        <v>250000</v>
      </c>
      <c r="F54" s="2821">
        <v>250000</v>
      </c>
      <c r="G54" s="2821">
        <v>250000</v>
      </c>
      <c r="H54" s="2821">
        <v>250000</v>
      </c>
      <c r="I54" s="2821">
        <v>250000</v>
      </c>
      <c r="J54" s="2821">
        <v>250000</v>
      </c>
      <c r="K54" s="2821">
        <f>+[3]Byty!$B$27</f>
        <v>640000</v>
      </c>
      <c r="L54" s="2822">
        <f t="shared" si="0"/>
        <v>390000</v>
      </c>
      <c r="M54" s="2850"/>
      <c r="N54" s="2857"/>
      <c r="O54" s="2160"/>
    </row>
    <row r="55" spans="1:15" s="2858" customFormat="1" ht="16.5" customHeight="1" thickBot="1">
      <c r="A55" s="3296" t="s">
        <v>200</v>
      </c>
      <c r="B55" s="3297"/>
      <c r="C55" s="2853"/>
      <c r="D55" s="2854">
        <v>1420000</v>
      </c>
      <c r="E55" s="2854">
        <v>1420000</v>
      </c>
      <c r="F55" s="2854">
        <v>1420000</v>
      </c>
      <c r="G55" s="2854">
        <v>1420000</v>
      </c>
      <c r="H55" s="2854">
        <v>1420000</v>
      </c>
      <c r="I55" s="2854">
        <v>1420000</v>
      </c>
      <c r="J55" s="2854">
        <v>1420000</v>
      </c>
      <c r="K55" s="2854">
        <f t="shared" ref="K55" si="11">SUM(K53:K54)</f>
        <v>2690000</v>
      </c>
      <c r="L55" s="2855">
        <f t="shared" si="0"/>
        <v>1270000</v>
      </c>
      <c r="M55" s="2856">
        <f>'Výdaje kapitol celkem'!AI34</f>
        <v>2690000</v>
      </c>
      <c r="N55" s="2857">
        <f>+M55-K55</f>
        <v>0</v>
      </c>
      <c r="O55" s="2160"/>
    </row>
    <row r="56" spans="1:15" ht="16.5" customHeight="1" outlineLevel="1">
      <c r="A56" s="2868" t="s">
        <v>199</v>
      </c>
      <c r="B56" s="2866">
        <v>5169</v>
      </c>
      <c r="C56" s="2869" t="s">
        <v>1749</v>
      </c>
      <c r="D56" s="2829">
        <v>120000</v>
      </c>
      <c r="E56" s="2829">
        <v>120000</v>
      </c>
      <c r="F56" s="2829">
        <v>120000</v>
      </c>
      <c r="G56" s="2829">
        <v>120000</v>
      </c>
      <c r="H56" s="2829">
        <v>120000</v>
      </c>
      <c r="I56" s="2829">
        <v>120000</v>
      </c>
      <c r="J56" s="2829">
        <v>120000</v>
      </c>
      <c r="K56" s="2829">
        <f>+[3]DPS!$B$27</f>
        <v>120000</v>
      </c>
      <c r="L56" s="2870">
        <f t="shared" si="0"/>
        <v>0</v>
      </c>
      <c r="M56" s="2850"/>
      <c r="N56" s="2857"/>
      <c r="O56" s="2160"/>
    </row>
    <row r="57" spans="1:15" ht="16.5" customHeight="1" outlineLevel="1">
      <c r="A57" s="2868" t="s">
        <v>199</v>
      </c>
      <c r="B57" s="2866">
        <v>5169</v>
      </c>
      <c r="C57" s="2869" t="s">
        <v>1750</v>
      </c>
      <c r="D57" s="2829">
        <v>100000</v>
      </c>
      <c r="E57" s="2829">
        <v>100000</v>
      </c>
      <c r="F57" s="2829">
        <v>100000</v>
      </c>
      <c r="G57" s="2829">
        <v>100000</v>
      </c>
      <c r="H57" s="2829">
        <v>100000</v>
      </c>
      <c r="I57" s="2829">
        <v>100000</v>
      </c>
      <c r="J57" s="2829">
        <v>100000</v>
      </c>
      <c r="K57" s="2829">
        <f>+[3]DPS!$B$28</f>
        <v>100000</v>
      </c>
      <c r="L57" s="2870">
        <f t="shared" si="0"/>
        <v>0</v>
      </c>
      <c r="M57" s="2850"/>
      <c r="N57" s="2857"/>
      <c r="O57" s="2160"/>
    </row>
    <row r="58" spans="1:15" ht="12.4" thickBot="1">
      <c r="A58" s="3296" t="s">
        <v>201</v>
      </c>
      <c r="B58" s="3297"/>
      <c r="C58" s="2853"/>
      <c r="D58" s="2854">
        <v>220000</v>
      </c>
      <c r="E58" s="2854">
        <v>220000</v>
      </c>
      <c r="F58" s="2854">
        <v>220000</v>
      </c>
      <c r="G58" s="2854">
        <v>220000</v>
      </c>
      <c r="H58" s="2854">
        <v>220000</v>
      </c>
      <c r="I58" s="2854">
        <v>220000</v>
      </c>
      <c r="J58" s="2854">
        <v>220000</v>
      </c>
      <c r="K58" s="2854">
        <f t="shared" ref="K58" si="12">SUM(K56:K57)</f>
        <v>220000</v>
      </c>
      <c r="L58" s="2855">
        <f t="shared" si="0"/>
        <v>0</v>
      </c>
      <c r="M58" s="2856">
        <f>'Výdaje kapitol celkem'!AL34</f>
        <v>220000</v>
      </c>
      <c r="N58" s="2857">
        <f>+M58-K58</f>
        <v>0</v>
      </c>
      <c r="O58" s="2160"/>
    </row>
    <row r="59" spans="1:15" ht="15" customHeight="1" outlineLevel="1">
      <c r="A59" s="2818" t="s">
        <v>1241</v>
      </c>
      <c r="B59" s="2819">
        <v>5169</v>
      </c>
      <c r="C59" s="2820"/>
      <c r="D59" s="2821">
        <v>0</v>
      </c>
      <c r="E59" s="2821">
        <v>0</v>
      </c>
      <c r="F59" s="2821">
        <v>0</v>
      </c>
      <c r="G59" s="2821">
        <v>0</v>
      </c>
      <c r="H59" s="2821">
        <v>0</v>
      </c>
      <c r="I59" s="2821">
        <v>0</v>
      </c>
      <c r="J59" s="2821">
        <v>0</v>
      </c>
      <c r="K59" s="2821">
        <f>+'[3]Hotel Budka'!$B$19</f>
        <v>0</v>
      </c>
      <c r="L59" s="2828">
        <f t="shared" si="0"/>
        <v>0</v>
      </c>
      <c r="M59" s="2850"/>
      <c r="N59" s="2857"/>
      <c r="O59" s="2160"/>
    </row>
    <row r="60" spans="1:15" ht="15" customHeight="1" outlineLevel="1">
      <c r="A60" s="2868" t="s">
        <v>1241</v>
      </c>
      <c r="B60" s="2866">
        <v>5169</v>
      </c>
      <c r="C60" s="2869"/>
      <c r="D60" s="2829">
        <v>0</v>
      </c>
      <c r="E60" s="2829">
        <v>0</v>
      </c>
      <c r="F60" s="2829">
        <v>0</v>
      </c>
      <c r="G60" s="2829">
        <v>0</v>
      </c>
      <c r="H60" s="2829">
        <v>0</v>
      </c>
      <c r="I60" s="2829">
        <v>0</v>
      </c>
      <c r="J60" s="2829">
        <v>0</v>
      </c>
      <c r="K60" s="2829">
        <f>+'[3]Hotel Budka'!$B$20</f>
        <v>0</v>
      </c>
      <c r="L60" s="2863">
        <f t="shared" si="0"/>
        <v>0</v>
      </c>
      <c r="M60" s="2850"/>
      <c r="N60" s="2857"/>
      <c r="O60" s="2160"/>
    </row>
    <row r="61" spans="1:15" ht="15" hidden="1" customHeight="1" outlineLevel="1">
      <c r="A61" s="2871" t="s">
        <v>1241</v>
      </c>
      <c r="B61" s="2866">
        <v>5169</v>
      </c>
      <c r="C61" s="2872"/>
      <c r="D61" s="2873"/>
      <c r="E61" s="2873"/>
      <c r="F61" s="2873"/>
      <c r="G61" s="2873"/>
      <c r="H61" s="2873"/>
      <c r="I61" s="2873"/>
      <c r="J61" s="2873"/>
      <c r="K61" s="2873"/>
      <c r="L61" s="2874">
        <f t="shared" si="0"/>
        <v>0</v>
      </c>
      <c r="M61" s="2850"/>
      <c r="N61" s="2857"/>
      <c r="O61" s="2160"/>
    </row>
    <row r="62" spans="1:15" ht="16.5" customHeight="1" thickBot="1">
      <c r="A62" s="3296" t="s">
        <v>1430</v>
      </c>
      <c r="B62" s="3297"/>
      <c r="C62" s="2853"/>
      <c r="D62" s="2854">
        <v>0</v>
      </c>
      <c r="E62" s="2854">
        <v>0</v>
      </c>
      <c r="F62" s="2854">
        <v>0</v>
      </c>
      <c r="G62" s="2854">
        <v>0</v>
      </c>
      <c r="H62" s="2854">
        <v>0</v>
      </c>
      <c r="I62" s="2854">
        <v>0</v>
      </c>
      <c r="J62" s="2854">
        <v>0</v>
      </c>
      <c r="K62" s="2854">
        <f t="shared" ref="K62" si="13">SUM(K59:K60)</f>
        <v>0</v>
      </c>
      <c r="L62" s="2855">
        <f t="shared" si="0"/>
        <v>0</v>
      </c>
      <c r="M62" s="2856">
        <f>'Výdaje kapitol celkem'!AD34</f>
        <v>0</v>
      </c>
      <c r="N62" s="2857">
        <f>+M62-K62</f>
        <v>0</v>
      </c>
      <c r="O62" s="2160"/>
    </row>
    <row r="63" spans="1:15" ht="24" outlineLevel="1">
      <c r="A63" s="2818">
        <v>3613</v>
      </c>
      <c r="B63" s="2819">
        <v>5169</v>
      </c>
      <c r="C63" s="2820" t="s">
        <v>2998</v>
      </c>
      <c r="D63" s="2821">
        <v>300000</v>
      </c>
      <c r="E63" s="2821">
        <v>300000</v>
      </c>
      <c r="F63" s="2821">
        <v>300000</v>
      </c>
      <c r="G63" s="2821">
        <v>300000</v>
      </c>
      <c r="H63" s="2821">
        <v>300000</v>
      </c>
      <c r="I63" s="2821">
        <v>300000</v>
      </c>
      <c r="J63" s="2821">
        <v>300000</v>
      </c>
      <c r="K63" s="2821">
        <f>+[3]Nebyty!$B$5</f>
        <v>205000</v>
      </c>
      <c r="L63" s="2828">
        <f t="shared" si="0"/>
        <v>-95000</v>
      </c>
      <c r="M63" s="2850"/>
      <c r="N63" s="2857"/>
      <c r="O63" s="2160"/>
    </row>
    <row r="64" spans="1:15" ht="15" customHeight="1" outlineLevel="1">
      <c r="A64" s="2868">
        <v>3613</v>
      </c>
      <c r="B64" s="2866">
        <v>5169</v>
      </c>
      <c r="C64" s="2869" t="s">
        <v>1754</v>
      </c>
      <c r="D64" s="2829">
        <v>0</v>
      </c>
      <c r="E64" s="2829">
        <v>0</v>
      </c>
      <c r="F64" s="2829">
        <v>0</v>
      </c>
      <c r="G64" s="2829">
        <v>0</v>
      </c>
      <c r="H64" s="2829">
        <v>0</v>
      </c>
      <c r="I64" s="2829">
        <v>0</v>
      </c>
      <c r="J64" s="2829">
        <v>0</v>
      </c>
      <c r="K64" s="2829">
        <f>+[3]Nebyty!$B$6</f>
        <v>0</v>
      </c>
      <c r="L64" s="2863">
        <f t="shared" si="0"/>
        <v>0</v>
      </c>
      <c r="M64" s="2850"/>
      <c r="N64" s="2857"/>
      <c r="O64" s="2160"/>
    </row>
    <row r="65" spans="1:15" ht="16.5" customHeight="1" thickBot="1">
      <c r="A65" s="3296" t="s">
        <v>202</v>
      </c>
      <c r="B65" s="3297"/>
      <c r="C65" s="2853"/>
      <c r="D65" s="2854">
        <v>300000</v>
      </c>
      <c r="E65" s="2854">
        <v>300000</v>
      </c>
      <c r="F65" s="2854">
        <v>300000</v>
      </c>
      <c r="G65" s="2854">
        <v>300000</v>
      </c>
      <c r="H65" s="2854">
        <v>300000</v>
      </c>
      <c r="I65" s="2854">
        <v>300000</v>
      </c>
      <c r="J65" s="2854">
        <v>300000</v>
      </c>
      <c r="K65" s="2854">
        <f t="shared" ref="K65" si="14">SUM(K63:K64)</f>
        <v>205000</v>
      </c>
      <c r="L65" s="2855">
        <f t="shared" si="0"/>
        <v>-95000</v>
      </c>
      <c r="M65" s="2856">
        <f>'Výdaje kapitol celkem'!AO34</f>
        <v>205000</v>
      </c>
      <c r="N65" s="2857">
        <f>+M65-K65</f>
        <v>0</v>
      </c>
      <c r="O65" s="2160"/>
    </row>
    <row r="66" spans="1:15" ht="20.25" customHeight="1" outlineLevel="1">
      <c r="A66" s="2818">
        <v>5512</v>
      </c>
      <c r="B66" s="2819">
        <v>5169</v>
      </c>
      <c r="C66" s="2820" t="s">
        <v>1737</v>
      </c>
      <c r="D66" s="2821">
        <v>20000</v>
      </c>
      <c r="E66" s="2821">
        <v>20000</v>
      </c>
      <c r="F66" s="2821">
        <v>20000</v>
      </c>
      <c r="G66" s="2821">
        <v>20000</v>
      </c>
      <c r="H66" s="2821">
        <v>20000</v>
      </c>
      <c r="I66" s="2821">
        <v>20000</v>
      </c>
      <c r="J66" s="2821">
        <v>20000</v>
      </c>
      <c r="K66" s="2821">
        <f>+[3]Hasiči!$B$19</f>
        <v>20000</v>
      </c>
      <c r="L66" s="2828">
        <f t="shared" si="0"/>
        <v>0</v>
      </c>
      <c r="M66" s="2850"/>
      <c r="N66" s="2857"/>
      <c r="O66" s="2160"/>
    </row>
    <row r="67" spans="1:15" ht="28.5" hidden="1" customHeight="1" outlineLevel="1">
      <c r="A67" s="2868">
        <v>5512</v>
      </c>
      <c r="B67" s="2866">
        <v>5169</v>
      </c>
      <c r="C67" s="2820"/>
      <c r="D67" s="2829">
        <v>0</v>
      </c>
      <c r="E67" s="2829">
        <v>0</v>
      </c>
      <c r="F67" s="2829">
        <v>0</v>
      </c>
      <c r="G67" s="2829">
        <v>0</v>
      </c>
      <c r="H67" s="2829">
        <v>0</v>
      </c>
      <c r="I67" s="2829">
        <v>0</v>
      </c>
      <c r="J67" s="2829">
        <v>0</v>
      </c>
      <c r="K67" s="2829">
        <f>+[3]Hasiči!$B$20</f>
        <v>0</v>
      </c>
      <c r="L67" s="2863">
        <f t="shared" si="0"/>
        <v>0</v>
      </c>
      <c r="M67" s="2850"/>
      <c r="N67" s="2857"/>
      <c r="O67" s="2160"/>
    </row>
    <row r="68" spans="1:15" ht="20.25" customHeight="1" outlineLevel="1">
      <c r="A68" s="2868">
        <v>5512</v>
      </c>
      <c r="B68" s="2866">
        <v>5169</v>
      </c>
      <c r="C68" s="2820" t="s">
        <v>2389</v>
      </c>
      <c r="D68" s="2829">
        <v>30000</v>
      </c>
      <c r="E68" s="2829">
        <v>30000</v>
      </c>
      <c r="F68" s="2829">
        <v>30000</v>
      </c>
      <c r="G68" s="2829">
        <v>30000</v>
      </c>
      <c r="H68" s="2829">
        <v>30000</v>
      </c>
      <c r="I68" s="2829">
        <v>30000</v>
      </c>
      <c r="J68" s="2829">
        <v>30000</v>
      </c>
      <c r="K68" s="2829">
        <f>+[2]Hasiči!$B$55</f>
        <v>25000</v>
      </c>
      <c r="L68" s="2863">
        <f t="shared" si="0"/>
        <v>-5000</v>
      </c>
      <c r="M68" s="2850"/>
      <c r="N68" s="2857"/>
      <c r="O68" s="2160"/>
    </row>
    <row r="69" spans="1:15" ht="20.25" hidden="1" customHeight="1" outlineLevel="1">
      <c r="A69" s="2868">
        <v>5512</v>
      </c>
      <c r="B69" s="2866">
        <v>5169</v>
      </c>
      <c r="C69" s="2820"/>
      <c r="D69" s="2829">
        <v>0</v>
      </c>
      <c r="E69" s="2829">
        <v>0</v>
      </c>
      <c r="F69" s="2829">
        <v>0</v>
      </c>
      <c r="G69" s="2829">
        <v>0</v>
      </c>
      <c r="H69" s="2829">
        <v>0</v>
      </c>
      <c r="I69" s="2829">
        <v>0</v>
      </c>
      <c r="J69" s="2829">
        <v>0</v>
      </c>
      <c r="K69" s="2829">
        <f>+[2]Hasiči!$B$56</f>
        <v>0</v>
      </c>
      <c r="L69" s="2863">
        <f t="shared" si="0"/>
        <v>0</v>
      </c>
      <c r="M69" s="2850"/>
      <c r="N69" s="2857"/>
      <c r="O69" s="2160"/>
    </row>
    <row r="70" spans="1:15" ht="20.25" customHeight="1" thickBot="1">
      <c r="A70" s="3296" t="s">
        <v>203</v>
      </c>
      <c r="B70" s="3297"/>
      <c r="C70" s="2853"/>
      <c r="D70" s="2854">
        <v>50000</v>
      </c>
      <c r="E70" s="2854">
        <v>50000</v>
      </c>
      <c r="F70" s="2854">
        <v>50000</v>
      </c>
      <c r="G70" s="2854">
        <v>50000</v>
      </c>
      <c r="H70" s="2854">
        <v>50000</v>
      </c>
      <c r="I70" s="2854">
        <v>50000</v>
      </c>
      <c r="J70" s="2854">
        <v>50000</v>
      </c>
      <c r="K70" s="2854">
        <f t="shared" ref="K70" si="15">SUM(K66:K69)</f>
        <v>45000</v>
      </c>
      <c r="L70" s="2855">
        <f t="shared" ref="L70:L133" si="16">+K70-J70</f>
        <v>-5000</v>
      </c>
      <c r="M70" s="2856">
        <f>'Výdaje kapitol celkem'!AR34</f>
        <v>45000</v>
      </c>
      <c r="N70" s="2857">
        <f>+M70-K70</f>
        <v>0</v>
      </c>
      <c r="O70" s="2160"/>
    </row>
    <row r="71" spans="1:15" ht="20.25" customHeight="1" outlineLevel="1">
      <c r="A71" s="2818">
        <v>3519</v>
      </c>
      <c r="B71" s="2819">
        <v>5169</v>
      </c>
      <c r="C71" s="2820"/>
      <c r="D71" s="2821">
        <v>80000</v>
      </c>
      <c r="E71" s="2821">
        <v>80000</v>
      </c>
      <c r="F71" s="2821">
        <v>80000</v>
      </c>
      <c r="G71" s="2821">
        <v>80000</v>
      </c>
      <c r="H71" s="2821">
        <v>80000</v>
      </c>
      <c r="I71" s="2821">
        <v>80000</v>
      </c>
      <c r="J71" s="2821">
        <v>80000</v>
      </c>
      <c r="K71" s="2821">
        <f>+'[3]Zdrav. středisko'!$B$5</f>
        <v>17000</v>
      </c>
      <c r="L71" s="2828">
        <f t="shared" si="16"/>
        <v>-63000</v>
      </c>
      <c r="M71" s="2850"/>
      <c r="N71" s="2857"/>
      <c r="O71" s="2160"/>
    </row>
    <row r="72" spans="1:15" ht="20.25" customHeight="1" outlineLevel="1">
      <c r="A72" s="2868">
        <v>3519</v>
      </c>
      <c r="B72" s="2866">
        <v>5169</v>
      </c>
      <c r="C72" s="2869"/>
      <c r="D72" s="2829">
        <v>0</v>
      </c>
      <c r="E72" s="2829">
        <v>0</v>
      </c>
      <c r="F72" s="2829">
        <v>0</v>
      </c>
      <c r="G72" s="2829">
        <v>0</v>
      </c>
      <c r="H72" s="2829">
        <v>0</v>
      </c>
      <c r="I72" s="2829">
        <v>0</v>
      </c>
      <c r="J72" s="2829">
        <v>0</v>
      </c>
      <c r="K72" s="2829">
        <f>+'[3]Zdrav. středisko'!$B$6</f>
        <v>0</v>
      </c>
      <c r="L72" s="2863">
        <f t="shared" si="16"/>
        <v>0</v>
      </c>
      <c r="M72" s="2850"/>
      <c r="N72" s="2857"/>
      <c r="O72" s="2160"/>
    </row>
    <row r="73" spans="1:15" ht="26.25" customHeight="1" thickBot="1">
      <c r="A73" s="3296" t="s">
        <v>204</v>
      </c>
      <c r="B73" s="3297"/>
      <c r="C73" s="2853"/>
      <c r="D73" s="2854">
        <v>80000</v>
      </c>
      <c r="E73" s="2854">
        <v>80000</v>
      </c>
      <c r="F73" s="2854">
        <v>80000</v>
      </c>
      <c r="G73" s="2854">
        <v>80000</v>
      </c>
      <c r="H73" s="2854">
        <v>80000</v>
      </c>
      <c r="I73" s="2854">
        <v>80000</v>
      </c>
      <c r="J73" s="2854">
        <v>80000</v>
      </c>
      <c r="K73" s="2854">
        <f t="shared" ref="K73" si="17">SUM(K71:K72)</f>
        <v>17000</v>
      </c>
      <c r="L73" s="2855">
        <f t="shared" si="16"/>
        <v>-63000</v>
      </c>
      <c r="M73" s="2856">
        <f>'Výdaje kapitol celkem'!AS34</f>
        <v>17000</v>
      </c>
      <c r="N73" s="2857">
        <f>+M73-K73</f>
        <v>0</v>
      </c>
      <c r="O73" s="2160"/>
    </row>
    <row r="74" spans="1:15" ht="18" customHeight="1" outlineLevel="1">
      <c r="A74" s="2818">
        <v>3429</v>
      </c>
      <c r="B74" s="2819">
        <v>5169</v>
      </c>
      <c r="C74" s="2820" t="s">
        <v>1737</v>
      </c>
      <c r="D74" s="2821">
        <v>0</v>
      </c>
      <c r="E74" s="2821">
        <v>0</v>
      </c>
      <c r="F74" s="2821">
        <v>0</v>
      </c>
      <c r="G74" s="2821">
        <v>0</v>
      </c>
      <c r="H74" s="2821">
        <v>0</v>
      </c>
      <c r="I74" s="2821">
        <v>0</v>
      </c>
      <c r="J74" s="2821">
        <v>0</v>
      </c>
      <c r="K74" s="2821">
        <f>+[3]Tesko!$B$5</f>
        <v>0</v>
      </c>
      <c r="L74" s="2828">
        <f t="shared" si="16"/>
        <v>0</v>
      </c>
      <c r="M74" s="2850"/>
      <c r="N74" s="2857"/>
      <c r="O74" s="2160"/>
    </row>
    <row r="75" spans="1:15" ht="18" customHeight="1" outlineLevel="1">
      <c r="A75" s="2868">
        <v>3429</v>
      </c>
      <c r="B75" s="2866">
        <v>5169</v>
      </c>
      <c r="C75" s="2820"/>
      <c r="D75" s="2821">
        <v>0</v>
      </c>
      <c r="E75" s="2821">
        <v>0</v>
      </c>
      <c r="F75" s="2821">
        <v>0</v>
      </c>
      <c r="G75" s="2821">
        <v>0</v>
      </c>
      <c r="H75" s="2821">
        <v>0</v>
      </c>
      <c r="I75" s="2821">
        <v>0</v>
      </c>
      <c r="J75" s="2821">
        <v>0</v>
      </c>
      <c r="K75" s="2821">
        <f>+[3]Tesko!$B$6</f>
        <v>0</v>
      </c>
      <c r="L75" s="2828">
        <f t="shared" si="16"/>
        <v>0</v>
      </c>
      <c r="M75" s="2850"/>
      <c r="N75" s="2857"/>
      <c r="O75" s="2160"/>
    </row>
    <row r="76" spans="1:15" ht="20.25" hidden="1" customHeight="1" outlineLevel="1">
      <c r="A76" s="2868">
        <v>3429</v>
      </c>
      <c r="B76" s="2866">
        <v>5169</v>
      </c>
      <c r="C76" s="2869"/>
      <c r="D76" s="2875"/>
      <c r="E76" s="2875"/>
      <c r="F76" s="2875"/>
      <c r="G76" s="2875"/>
      <c r="H76" s="2875"/>
      <c r="I76" s="2875"/>
      <c r="J76" s="2875"/>
      <c r="K76" s="2875"/>
      <c r="L76" s="2863">
        <f t="shared" si="16"/>
        <v>0</v>
      </c>
      <c r="M76" s="2850"/>
      <c r="N76" s="2857"/>
      <c r="O76" s="2160"/>
    </row>
    <row r="77" spans="1:15" ht="20.25" customHeight="1" thickBot="1">
      <c r="A77" s="3296" t="s">
        <v>1199</v>
      </c>
      <c r="B77" s="3297"/>
      <c r="C77" s="2853"/>
      <c r="D77" s="2854">
        <v>0</v>
      </c>
      <c r="E77" s="2854">
        <v>0</v>
      </c>
      <c r="F77" s="2854">
        <v>0</v>
      </c>
      <c r="G77" s="2854">
        <v>0</v>
      </c>
      <c r="H77" s="2854">
        <v>0</v>
      </c>
      <c r="I77" s="2854">
        <v>0</v>
      </c>
      <c r="J77" s="2854">
        <v>0</v>
      </c>
      <c r="K77" s="2854">
        <f t="shared" ref="K77" si="18">SUM(K74:K76)</f>
        <v>0</v>
      </c>
      <c r="L77" s="2855">
        <f t="shared" si="16"/>
        <v>0</v>
      </c>
      <c r="M77" s="2856">
        <f>'Výdaje kapitol celkem'!AT34</f>
        <v>0</v>
      </c>
      <c r="N77" s="2857">
        <f>+M77-K77</f>
        <v>0</v>
      </c>
      <c r="O77" s="2160"/>
    </row>
    <row r="78" spans="1:15" ht="18" customHeight="1" outlineLevel="1">
      <c r="A78" s="2818">
        <v>3632</v>
      </c>
      <c r="B78" s="2819">
        <v>5169</v>
      </c>
      <c r="C78" s="2820" t="s">
        <v>2692</v>
      </c>
      <c r="D78" s="2821">
        <v>50000</v>
      </c>
      <c r="E78" s="2821">
        <v>50000</v>
      </c>
      <c r="F78" s="2821">
        <v>50000</v>
      </c>
      <c r="G78" s="2821">
        <v>50000</v>
      </c>
      <c r="H78" s="2821">
        <v>50000</v>
      </c>
      <c r="I78" s="2821">
        <v>50000</v>
      </c>
      <c r="J78" s="2821">
        <v>35000</v>
      </c>
      <c r="K78" s="2821">
        <f>+[3]Hřbitov!$B$19</f>
        <v>0</v>
      </c>
      <c r="L78" s="2828">
        <f t="shared" si="16"/>
        <v>-35000</v>
      </c>
      <c r="M78" s="2850"/>
      <c r="N78" s="2857"/>
      <c r="O78" s="2160"/>
    </row>
    <row r="79" spans="1:15" ht="18" customHeight="1" outlineLevel="1">
      <c r="A79" s="2868">
        <v>3632</v>
      </c>
      <c r="B79" s="2866">
        <v>5169</v>
      </c>
      <c r="C79" s="2820"/>
      <c r="D79" s="2821">
        <v>0</v>
      </c>
      <c r="E79" s="2821">
        <v>0</v>
      </c>
      <c r="F79" s="2821">
        <v>0</v>
      </c>
      <c r="G79" s="2821">
        <v>0</v>
      </c>
      <c r="H79" s="2821">
        <v>0</v>
      </c>
      <c r="I79" s="2821">
        <v>0</v>
      </c>
      <c r="J79" s="2821">
        <v>0</v>
      </c>
      <c r="K79" s="2821">
        <f>+[3]Hřbitov!$B$20</f>
        <v>0</v>
      </c>
      <c r="L79" s="2828">
        <f t="shared" si="16"/>
        <v>0</v>
      </c>
      <c r="M79" s="2850"/>
      <c r="N79" s="2857"/>
      <c r="O79" s="2160"/>
    </row>
    <row r="80" spans="1:15" ht="20.25" hidden="1" customHeight="1" outlineLevel="1">
      <c r="A80" s="2868">
        <v>3632</v>
      </c>
      <c r="B80" s="2866">
        <v>5169</v>
      </c>
      <c r="C80" s="2869"/>
      <c r="D80" s="2829"/>
      <c r="E80" s="2829"/>
      <c r="F80" s="2829"/>
      <c r="G80" s="2829"/>
      <c r="H80" s="2829"/>
      <c r="I80" s="2829"/>
      <c r="J80" s="2829"/>
      <c r="K80" s="2829"/>
      <c r="L80" s="2863">
        <f t="shared" si="16"/>
        <v>0</v>
      </c>
      <c r="M80" s="2850"/>
      <c r="N80" s="2857"/>
      <c r="O80" s="2160"/>
    </row>
    <row r="81" spans="1:15" ht="20.25" customHeight="1" thickBot="1">
      <c r="A81" s="3296" t="s">
        <v>253</v>
      </c>
      <c r="B81" s="3297"/>
      <c r="C81" s="2853"/>
      <c r="D81" s="2854">
        <v>50000</v>
      </c>
      <c r="E81" s="2854">
        <v>50000</v>
      </c>
      <c r="F81" s="2854">
        <v>50000</v>
      </c>
      <c r="G81" s="2854">
        <v>50000</v>
      </c>
      <c r="H81" s="2854">
        <v>50000</v>
      </c>
      <c r="I81" s="2854">
        <v>50000</v>
      </c>
      <c r="J81" s="2854">
        <v>35000</v>
      </c>
      <c r="K81" s="2854">
        <f t="shared" ref="K81" si="19">SUM(K78:K80)</f>
        <v>0</v>
      </c>
      <c r="L81" s="2855">
        <f t="shared" si="16"/>
        <v>-35000</v>
      </c>
      <c r="M81" s="2856">
        <f>'Výdaje kapitol celkem'!AU34</f>
        <v>0</v>
      </c>
      <c r="N81" s="2857">
        <f>+M81-K81</f>
        <v>0</v>
      </c>
      <c r="O81" s="2160"/>
    </row>
    <row r="82" spans="1:15" ht="20.25" customHeight="1" outlineLevel="1">
      <c r="A82" s="2818">
        <v>3412</v>
      </c>
      <c r="B82" s="2819">
        <v>5169</v>
      </c>
      <c r="C82" s="2820" t="s">
        <v>2693</v>
      </c>
      <c r="D82" s="2821">
        <v>0</v>
      </c>
      <c r="E82" s="2821">
        <v>0</v>
      </c>
      <c r="F82" s="2821">
        <v>40000</v>
      </c>
      <c r="G82" s="2821">
        <v>40000</v>
      </c>
      <c r="H82" s="2821">
        <v>40000</v>
      </c>
      <c r="I82" s="2821">
        <v>40000</v>
      </c>
      <c r="J82" s="2821">
        <v>40000</v>
      </c>
      <c r="K82" s="2821">
        <f>+[3]koupaliště!$B$21</f>
        <v>40000</v>
      </c>
      <c r="L82" s="2828">
        <f t="shared" si="16"/>
        <v>0</v>
      </c>
      <c r="M82" s="2850"/>
      <c r="N82" s="2857"/>
      <c r="O82" s="2160"/>
    </row>
    <row r="83" spans="1:15" ht="18" customHeight="1" outlineLevel="1">
      <c r="A83" s="2868">
        <v>3412</v>
      </c>
      <c r="B83" s="2866">
        <v>5169</v>
      </c>
      <c r="C83" s="2820"/>
      <c r="D83" s="2821">
        <v>0</v>
      </c>
      <c r="E83" s="2821">
        <v>0</v>
      </c>
      <c r="F83" s="2821">
        <v>0</v>
      </c>
      <c r="G83" s="2821">
        <v>0</v>
      </c>
      <c r="H83" s="2821">
        <v>0</v>
      </c>
      <c r="I83" s="2821">
        <v>0</v>
      </c>
      <c r="J83" s="2821">
        <v>0</v>
      </c>
      <c r="K83" s="2821">
        <f>+[3]koupaliště!$B$22</f>
        <v>0</v>
      </c>
      <c r="L83" s="2828">
        <f t="shared" si="16"/>
        <v>0</v>
      </c>
      <c r="M83" s="2850"/>
      <c r="N83" s="2857"/>
      <c r="O83" s="2160"/>
    </row>
    <row r="84" spans="1:15" ht="18" hidden="1" customHeight="1" outlineLevel="1">
      <c r="A84" s="2876">
        <v>3412</v>
      </c>
      <c r="B84" s="2877">
        <v>5169</v>
      </c>
      <c r="C84" s="2830"/>
      <c r="D84" s="2831"/>
      <c r="E84" s="2831"/>
      <c r="F84" s="2831"/>
      <c r="G84" s="2831"/>
      <c r="H84" s="2831"/>
      <c r="I84" s="2831"/>
      <c r="J84" s="2831"/>
      <c r="K84" s="2831"/>
      <c r="L84" s="2867">
        <f t="shared" si="16"/>
        <v>0</v>
      </c>
      <c r="M84" s="2850"/>
      <c r="N84" s="2857"/>
      <c r="O84" s="2160"/>
    </row>
    <row r="85" spans="1:15" ht="18" hidden="1" customHeight="1" outlineLevel="1">
      <c r="A85" s="2876">
        <v>3412</v>
      </c>
      <c r="B85" s="2866">
        <v>5169</v>
      </c>
      <c r="C85" s="2869"/>
      <c r="D85" s="2829"/>
      <c r="E85" s="2829"/>
      <c r="F85" s="2829"/>
      <c r="G85" s="2829"/>
      <c r="H85" s="2829"/>
      <c r="I85" s="2829"/>
      <c r="J85" s="2829"/>
      <c r="K85" s="2829"/>
      <c r="L85" s="2863">
        <f t="shared" si="16"/>
        <v>0</v>
      </c>
      <c r="M85" s="2850"/>
      <c r="N85" s="2857"/>
      <c r="O85" s="2160"/>
    </row>
    <row r="86" spans="1:15" ht="18" hidden="1" customHeight="1" outlineLevel="1">
      <c r="A86" s="2876">
        <v>3412</v>
      </c>
      <c r="B86" s="2878">
        <v>5169</v>
      </c>
      <c r="C86" s="2830"/>
      <c r="D86" s="2831"/>
      <c r="E86" s="2831"/>
      <c r="F86" s="2831"/>
      <c r="G86" s="2831"/>
      <c r="H86" s="2831"/>
      <c r="I86" s="2831"/>
      <c r="J86" s="2831"/>
      <c r="K86" s="2831"/>
      <c r="L86" s="2867">
        <f t="shared" si="16"/>
        <v>0</v>
      </c>
      <c r="M86" s="2850"/>
      <c r="N86" s="2857"/>
      <c r="O86" s="2160"/>
    </row>
    <row r="87" spans="1:15" ht="20.25" customHeight="1" thickBot="1">
      <c r="A87" s="3296" t="s">
        <v>625</v>
      </c>
      <c r="B87" s="3297"/>
      <c r="C87" s="2853"/>
      <c r="D87" s="2854">
        <v>0</v>
      </c>
      <c r="E87" s="2854">
        <v>0</v>
      </c>
      <c r="F87" s="2854">
        <v>40000</v>
      </c>
      <c r="G87" s="2854">
        <v>40000</v>
      </c>
      <c r="H87" s="2854">
        <v>40000</v>
      </c>
      <c r="I87" s="2854">
        <v>40000</v>
      </c>
      <c r="J87" s="2854">
        <v>40000</v>
      </c>
      <c r="K87" s="2854">
        <f t="shared" ref="K87" si="20">SUM(K82:K86)</f>
        <v>40000</v>
      </c>
      <c r="L87" s="2855">
        <f t="shared" si="16"/>
        <v>0</v>
      </c>
      <c r="M87" s="2856">
        <f>'Výdaje kapitol celkem'!AX34</f>
        <v>40000</v>
      </c>
      <c r="N87" s="2857">
        <f>+M87-K87</f>
        <v>0</v>
      </c>
      <c r="O87" s="2160"/>
    </row>
    <row r="88" spans="1:15" ht="24" outlineLevel="1">
      <c r="A88" s="2818" t="s">
        <v>1174</v>
      </c>
      <c r="B88" s="2819">
        <v>5169</v>
      </c>
      <c r="C88" s="2820" t="s">
        <v>2999</v>
      </c>
      <c r="D88" s="2821">
        <v>250000</v>
      </c>
      <c r="E88" s="2821">
        <v>250000</v>
      </c>
      <c r="F88" s="2821">
        <v>250000</v>
      </c>
      <c r="G88" s="2821">
        <v>250000</v>
      </c>
      <c r="H88" s="2821">
        <v>504100</v>
      </c>
      <c r="I88" s="2821">
        <v>504100</v>
      </c>
      <c r="J88" s="2821">
        <v>504100</v>
      </c>
      <c r="K88" s="2821">
        <f>+[3]Hřiště!$B$15</f>
        <v>104100</v>
      </c>
      <c r="L88" s="2828">
        <f t="shared" si="16"/>
        <v>-400000</v>
      </c>
      <c r="M88" s="2850"/>
      <c r="N88" s="2857"/>
      <c r="O88" s="2160"/>
    </row>
    <row r="89" spans="1:15" ht="18" customHeight="1" outlineLevel="1">
      <c r="A89" s="2876" t="s">
        <v>1174</v>
      </c>
      <c r="B89" s="2866">
        <v>5169</v>
      </c>
      <c r="C89" s="2869" t="s">
        <v>2344</v>
      </c>
      <c r="D89" s="2829">
        <v>420000</v>
      </c>
      <c r="E89" s="2829">
        <v>420000</v>
      </c>
      <c r="F89" s="2829">
        <v>420000</v>
      </c>
      <c r="G89" s="2829">
        <v>420000</v>
      </c>
      <c r="H89" s="2829">
        <v>420000</v>
      </c>
      <c r="I89" s="2829">
        <v>420000</v>
      </c>
      <c r="J89" s="2829">
        <v>420000</v>
      </c>
      <c r="K89" s="2829">
        <f>+[3]Hřiště!$B$16</f>
        <v>175900</v>
      </c>
      <c r="L89" s="2863">
        <f t="shared" si="16"/>
        <v>-244100</v>
      </c>
      <c r="M89" s="2850"/>
      <c r="N89" s="2857"/>
      <c r="O89" s="2160"/>
    </row>
    <row r="90" spans="1:15" ht="18" customHeight="1" outlineLevel="1">
      <c r="A90" s="2876" t="s">
        <v>1174</v>
      </c>
      <c r="B90" s="2878">
        <v>5169</v>
      </c>
      <c r="C90" s="2830"/>
      <c r="D90" s="2831"/>
      <c r="E90" s="2831"/>
      <c r="F90" s="2831"/>
      <c r="G90" s="2831"/>
      <c r="H90" s="2831"/>
      <c r="I90" s="2831"/>
      <c r="J90" s="2831"/>
      <c r="K90" s="2831"/>
      <c r="L90" s="2867">
        <f t="shared" si="16"/>
        <v>0</v>
      </c>
      <c r="M90" s="2850"/>
      <c r="N90" s="2857">
        <f>+M90-K90</f>
        <v>0</v>
      </c>
      <c r="O90" s="2160"/>
    </row>
    <row r="91" spans="1:15" ht="20.25" customHeight="1" thickBot="1">
      <c r="A91" s="3296" t="s">
        <v>1178</v>
      </c>
      <c r="B91" s="3297"/>
      <c r="C91" s="2853"/>
      <c r="D91" s="2854">
        <v>670000</v>
      </c>
      <c r="E91" s="2854">
        <v>670000</v>
      </c>
      <c r="F91" s="2854">
        <v>670000</v>
      </c>
      <c r="G91" s="2854">
        <v>670000</v>
      </c>
      <c r="H91" s="2854">
        <v>924100</v>
      </c>
      <c r="I91" s="2854">
        <v>924100</v>
      </c>
      <c r="J91" s="2854">
        <v>924100</v>
      </c>
      <c r="K91" s="2854">
        <f t="shared" ref="K91" si="21">SUM(K88:K90)</f>
        <v>280000</v>
      </c>
      <c r="L91" s="2855">
        <f t="shared" si="16"/>
        <v>-644100</v>
      </c>
      <c r="M91" s="2856">
        <f>'Výdaje kapitol celkem'!BA34</f>
        <v>280000</v>
      </c>
      <c r="N91" s="2857">
        <f>+M91-K91</f>
        <v>0</v>
      </c>
      <c r="O91" s="2160"/>
    </row>
    <row r="92" spans="1:15" ht="18" customHeight="1" outlineLevel="1">
      <c r="A92" s="2868" t="s">
        <v>1176</v>
      </c>
      <c r="B92" s="2866">
        <v>5169</v>
      </c>
      <c r="C92" s="2820" t="s">
        <v>1739</v>
      </c>
      <c r="D92" s="2821">
        <v>300000</v>
      </c>
      <c r="E92" s="2821">
        <v>300000</v>
      </c>
      <c r="F92" s="2821">
        <v>300000</v>
      </c>
      <c r="G92" s="2821">
        <v>300000</v>
      </c>
      <c r="H92" s="2821">
        <v>300000</v>
      </c>
      <c r="I92" s="2821">
        <v>300000</v>
      </c>
      <c r="J92" s="2821">
        <v>300000</v>
      </c>
      <c r="K92" s="2821">
        <f>+[3]Spolky!$B$15</f>
        <v>300000</v>
      </c>
      <c r="L92" s="2828">
        <f t="shared" si="16"/>
        <v>0</v>
      </c>
      <c r="M92" s="2850"/>
      <c r="N92" s="2857"/>
      <c r="O92" s="2160"/>
    </row>
    <row r="93" spans="1:15" ht="18" customHeight="1" outlineLevel="1">
      <c r="A93" s="2876" t="s">
        <v>1176</v>
      </c>
      <c r="B93" s="2877">
        <v>5169</v>
      </c>
      <c r="C93" s="2830" t="s">
        <v>1740</v>
      </c>
      <c r="D93" s="2831">
        <v>150000</v>
      </c>
      <c r="E93" s="2831">
        <v>150000</v>
      </c>
      <c r="F93" s="2831">
        <v>150000</v>
      </c>
      <c r="G93" s="2831">
        <v>150000</v>
      </c>
      <c r="H93" s="2831">
        <v>150000</v>
      </c>
      <c r="I93" s="2831">
        <v>150000</v>
      </c>
      <c r="J93" s="2831">
        <v>150000</v>
      </c>
      <c r="K93" s="2831">
        <f>+[3]Spolky!$B$16</f>
        <v>150000</v>
      </c>
      <c r="L93" s="2867">
        <f t="shared" si="16"/>
        <v>0</v>
      </c>
      <c r="M93" s="2850"/>
      <c r="N93" s="2857"/>
      <c r="O93" s="2160"/>
    </row>
    <row r="94" spans="1:15" ht="18" customHeight="1" outlineLevel="1">
      <c r="A94" s="2876" t="s">
        <v>1176</v>
      </c>
      <c r="B94" s="2866">
        <v>5169</v>
      </c>
      <c r="C94" s="2869" t="s">
        <v>1741</v>
      </c>
      <c r="D94" s="2829">
        <v>100000</v>
      </c>
      <c r="E94" s="2829">
        <v>100000</v>
      </c>
      <c r="F94" s="2829">
        <v>100000</v>
      </c>
      <c r="G94" s="2829">
        <v>100000</v>
      </c>
      <c r="H94" s="2829">
        <v>100000</v>
      </c>
      <c r="I94" s="2829">
        <v>100000</v>
      </c>
      <c r="J94" s="2829">
        <v>100000</v>
      </c>
      <c r="K94" s="2829">
        <f>+[3]Spolky!$B$17</f>
        <v>100000</v>
      </c>
      <c r="L94" s="2863">
        <f t="shared" si="16"/>
        <v>0</v>
      </c>
      <c r="M94" s="2850"/>
      <c r="N94" s="2857"/>
      <c r="O94" s="2160"/>
    </row>
    <row r="95" spans="1:15" ht="18" customHeight="1" outlineLevel="1">
      <c r="A95" s="2876" t="s">
        <v>1176</v>
      </c>
      <c r="B95" s="2878">
        <v>5169</v>
      </c>
      <c r="C95" s="2830" t="s">
        <v>1742</v>
      </c>
      <c r="D95" s="2831">
        <v>0</v>
      </c>
      <c r="E95" s="2831">
        <v>0</v>
      </c>
      <c r="F95" s="2831">
        <v>0</v>
      </c>
      <c r="G95" s="2831">
        <v>0</v>
      </c>
      <c r="H95" s="2831">
        <v>0</v>
      </c>
      <c r="I95" s="2831">
        <v>0</v>
      </c>
      <c r="J95" s="2831">
        <v>0</v>
      </c>
      <c r="K95" s="2831">
        <f>+[3]Spolky!$B$18</f>
        <v>0</v>
      </c>
      <c r="L95" s="2867">
        <f t="shared" si="16"/>
        <v>0</v>
      </c>
      <c r="M95" s="2850"/>
      <c r="N95" s="2857"/>
      <c r="O95" s="2160"/>
    </row>
    <row r="96" spans="1:15" ht="20.25" customHeight="1" thickBot="1">
      <c r="A96" s="3296" t="s">
        <v>1177</v>
      </c>
      <c r="B96" s="3297"/>
      <c r="C96" s="2853"/>
      <c r="D96" s="2854">
        <v>550000</v>
      </c>
      <c r="E96" s="2854">
        <v>550000</v>
      </c>
      <c r="F96" s="2854">
        <v>550000</v>
      </c>
      <c r="G96" s="2854">
        <v>550000</v>
      </c>
      <c r="H96" s="2854">
        <v>550000</v>
      </c>
      <c r="I96" s="2854">
        <v>550000</v>
      </c>
      <c r="J96" s="2854">
        <v>550000</v>
      </c>
      <c r="K96" s="2854">
        <f t="shared" ref="K96" si="22">SUM(K92:K95)</f>
        <v>550000</v>
      </c>
      <c r="L96" s="2855">
        <f t="shared" si="16"/>
        <v>0</v>
      </c>
      <c r="M96" s="2856">
        <f>'Výdaje kapitol celkem'!BD34</f>
        <v>550000</v>
      </c>
      <c r="N96" s="2857">
        <f>+M96-K96</f>
        <v>0</v>
      </c>
      <c r="O96" s="2160"/>
    </row>
    <row r="97" spans="1:15" ht="20.25" hidden="1" customHeight="1" outlineLevel="1">
      <c r="A97" s="2879">
        <v>3113</v>
      </c>
      <c r="B97" s="2878">
        <v>5169</v>
      </c>
      <c r="C97" s="2830"/>
      <c r="D97" s="2831">
        <v>0</v>
      </c>
      <c r="E97" s="2831">
        <v>0</v>
      </c>
      <c r="F97" s="2831">
        <v>0</v>
      </c>
      <c r="G97" s="2831">
        <v>0</v>
      </c>
      <c r="H97" s="2831">
        <v>0</v>
      </c>
      <c r="I97" s="2831">
        <v>0</v>
      </c>
      <c r="J97" s="2831">
        <v>0</v>
      </c>
      <c r="K97" s="2831">
        <f>+[3]ZŠ!$B$5</f>
        <v>0</v>
      </c>
      <c r="L97" s="2867">
        <f t="shared" si="16"/>
        <v>0</v>
      </c>
      <c r="M97" s="2850"/>
      <c r="N97" s="2857"/>
      <c r="O97" s="2160"/>
    </row>
    <row r="98" spans="1:15" ht="20.25" customHeight="1" outlineLevel="1">
      <c r="A98" s="2876">
        <v>3113</v>
      </c>
      <c r="B98" s="2877">
        <v>5169</v>
      </c>
      <c r="C98" s="2869" t="s">
        <v>3000</v>
      </c>
      <c r="D98" s="2829">
        <v>0</v>
      </c>
      <c r="E98" s="2829">
        <v>0</v>
      </c>
      <c r="F98" s="2829">
        <v>100000</v>
      </c>
      <c r="G98" s="2829">
        <v>100000</v>
      </c>
      <c r="H98" s="2829">
        <v>100000</v>
      </c>
      <c r="I98" s="2829">
        <v>100000</v>
      </c>
      <c r="J98" s="2829">
        <v>100000</v>
      </c>
      <c r="K98" s="2829">
        <f>+[3]ZŠ!$B$6</f>
        <v>0</v>
      </c>
      <c r="L98" s="2863">
        <f t="shared" si="16"/>
        <v>-100000</v>
      </c>
      <c r="M98" s="2850"/>
      <c r="N98" s="2857"/>
      <c r="O98" s="2160"/>
    </row>
    <row r="99" spans="1:15" ht="20.25" customHeight="1" outlineLevel="1">
      <c r="A99" s="2876">
        <v>3113</v>
      </c>
      <c r="B99" s="2877">
        <v>5169</v>
      </c>
      <c r="C99" s="2869"/>
      <c r="D99" s="2829"/>
      <c r="E99" s="2829"/>
      <c r="F99" s="2829"/>
      <c r="G99" s="2829"/>
      <c r="H99" s="2829"/>
      <c r="I99" s="2829"/>
      <c r="J99" s="2829"/>
      <c r="K99" s="2829"/>
      <c r="L99" s="2863">
        <f t="shared" si="16"/>
        <v>0</v>
      </c>
      <c r="M99" s="2850"/>
      <c r="N99" s="2857"/>
      <c r="O99" s="2160"/>
    </row>
    <row r="100" spans="1:15" ht="20.25" hidden="1" customHeight="1" outlineLevel="1">
      <c r="A100" s="2876">
        <v>3113</v>
      </c>
      <c r="B100" s="2877">
        <v>5169</v>
      </c>
      <c r="C100" s="2830"/>
      <c r="D100" s="2831"/>
      <c r="E100" s="2831"/>
      <c r="F100" s="2831"/>
      <c r="G100" s="2831"/>
      <c r="H100" s="2831"/>
      <c r="I100" s="2831"/>
      <c r="J100" s="2831"/>
      <c r="K100" s="2831"/>
      <c r="L100" s="2828">
        <f t="shared" si="16"/>
        <v>0</v>
      </c>
      <c r="M100" s="2850"/>
      <c r="N100" s="2857"/>
      <c r="O100" s="2160"/>
    </row>
    <row r="101" spans="1:15" ht="20.25" customHeight="1" thickBot="1">
      <c r="A101" s="3296" t="s">
        <v>205</v>
      </c>
      <c r="B101" s="3297"/>
      <c r="C101" s="2853"/>
      <c r="D101" s="2854">
        <v>0</v>
      </c>
      <c r="E101" s="2854">
        <v>0</v>
      </c>
      <c r="F101" s="2854">
        <v>100000</v>
      </c>
      <c r="G101" s="2854">
        <v>100000</v>
      </c>
      <c r="H101" s="2854">
        <v>100000</v>
      </c>
      <c r="I101" s="2854">
        <v>100000</v>
      </c>
      <c r="J101" s="2854">
        <v>100000</v>
      </c>
      <c r="K101" s="2854">
        <f t="shared" ref="K101" si="23">SUM(K97:K100)</f>
        <v>0</v>
      </c>
      <c r="L101" s="2855">
        <f t="shared" si="16"/>
        <v>-100000</v>
      </c>
      <c r="M101" s="2856">
        <f>'Výdaje kapitol celkem'!BG34</f>
        <v>0</v>
      </c>
      <c r="N101" s="2857">
        <f>+M101-K101</f>
        <v>0</v>
      </c>
      <c r="O101" s="2160"/>
    </row>
    <row r="102" spans="1:15" ht="26.25" customHeight="1" outlineLevel="1">
      <c r="A102" s="2879">
        <v>3114</v>
      </c>
      <c r="B102" s="2878">
        <v>5169</v>
      </c>
      <c r="C102" s="2830" t="s">
        <v>1735</v>
      </c>
      <c r="D102" s="2831">
        <v>30000</v>
      </c>
      <c r="E102" s="2831">
        <v>30000</v>
      </c>
      <c r="F102" s="2831">
        <v>30000</v>
      </c>
      <c r="G102" s="2831">
        <v>30000</v>
      </c>
      <c r="H102" s="2831">
        <v>30000</v>
      </c>
      <c r="I102" s="2831">
        <v>30000</v>
      </c>
      <c r="J102" s="2831">
        <v>30000</v>
      </c>
      <c r="K102" s="2831">
        <f>+[3]MDDM!$B$5</f>
        <v>18000</v>
      </c>
      <c r="L102" s="2828">
        <f t="shared" si="16"/>
        <v>-12000</v>
      </c>
      <c r="M102" s="2850"/>
      <c r="N102" s="2857"/>
      <c r="O102" s="2160"/>
    </row>
    <row r="103" spans="1:15" ht="20.25" customHeight="1" outlineLevel="1">
      <c r="A103" s="2876">
        <v>3114</v>
      </c>
      <c r="B103" s="2877">
        <v>5169</v>
      </c>
      <c r="C103" s="2872"/>
      <c r="D103" s="2873">
        <v>0</v>
      </c>
      <c r="E103" s="2873">
        <v>0</v>
      </c>
      <c r="F103" s="2873">
        <v>0</v>
      </c>
      <c r="G103" s="2873">
        <v>0</v>
      </c>
      <c r="H103" s="2873">
        <v>0</v>
      </c>
      <c r="I103" s="2873">
        <v>0</v>
      </c>
      <c r="J103" s="2873">
        <v>0</v>
      </c>
      <c r="K103" s="2873">
        <f>+[3]MDDM!$B$6</f>
        <v>0</v>
      </c>
      <c r="L103" s="2828">
        <f t="shared" si="16"/>
        <v>0</v>
      </c>
      <c r="M103" s="2850"/>
      <c r="N103" s="2857"/>
      <c r="O103" s="2160"/>
    </row>
    <row r="104" spans="1:15" ht="20.25" customHeight="1" thickBot="1">
      <c r="A104" s="3296" t="s">
        <v>206</v>
      </c>
      <c r="B104" s="3297"/>
      <c r="C104" s="2853"/>
      <c r="D104" s="2854">
        <v>30000</v>
      </c>
      <c r="E104" s="2854">
        <v>30000</v>
      </c>
      <c r="F104" s="2854">
        <v>30000</v>
      </c>
      <c r="G104" s="2854">
        <v>30000</v>
      </c>
      <c r="H104" s="2854">
        <v>30000</v>
      </c>
      <c r="I104" s="2854">
        <v>30000</v>
      </c>
      <c r="J104" s="2854">
        <v>30000</v>
      </c>
      <c r="K104" s="2854">
        <f t="shared" ref="K104" si="24">SUM(K102:K103)</f>
        <v>18000</v>
      </c>
      <c r="L104" s="2855">
        <f t="shared" si="16"/>
        <v>-12000</v>
      </c>
      <c r="M104" s="2856">
        <f>'Výdaje kapitol celkem'!BP34</f>
        <v>18000</v>
      </c>
      <c r="N104" s="2857">
        <f>+M104-K104</f>
        <v>0</v>
      </c>
      <c r="O104" s="2160"/>
    </row>
    <row r="105" spans="1:15" ht="18" customHeight="1" outlineLevel="1">
      <c r="A105" s="2879" t="s">
        <v>192</v>
      </c>
      <c r="B105" s="2878">
        <v>5169</v>
      </c>
      <c r="C105" s="2830" t="s">
        <v>1732</v>
      </c>
      <c r="D105" s="2831">
        <v>100000</v>
      </c>
      <c r="E105" s="2831">
        <v>100000</v>
      </c>
      <c r="F105" s="2831">
        <v>100000</v>
      </c>
      <c r="G105" s="2831">
        <v>100000</v>
      </c>
      <c r="H105" s="2831">
        <v>100000</v>
      </c>
      <c r="I105" s="2831">
        <v>100000</v>
      </c>
      <c r="J105" s="2831">
        <v>100000</v>
      </c>
      <c r="K105" s="2831">
        <f>+'[3]MŠ Kollárova'!$B$5</f>
        <v>100000</v>
      </c>
      <c r="L105" s="2828">
        <f t="shared" si="16"/>
        <v>0</v>
      </c>
      <c r="M105" s="2850"/>
      <c r="N105" s="2857"/>
      <c r="O105" s="2160"/>
    </row>
    <row r="106" spans="1:15" ht="18" customHeight="1" outlineLevel="1">
      <c r="A106" s="2876" t="s">
        <v>192</v>
      </c>
      <c r="B106" s="2877">
        <v>5169</v>
      </c>
      <c r="C106" s="2872" t="s">
        <v>2193</v>
      </c>
      <c r="D106" s="2873">
        <v>0</v>
      </c>
      <c r="E106" s="2873">
        <v>0</v>
      </c>
      <c r="F106" s="2873">
        <v>0</v>
      </c>
      <c r="G106" s="2873">
        <v>0</v>
      </c>
      <c r="H106" s="2873">
        <v>0</v>
      </c>
      <c r="I106" s="2873">
        <v>0</v>
      </c>
      <c r="J106" s="2873">
        <v>0</v>
      </c>
      <c r="K106" s="2873">
        <f>+'[3]MŠ Kollárova'!$B$6</f>
        <v>0</v>
      </c>
      <c r="L106" s="2863">
        <f t="shared" si="16"/>
        <v>0</v>
      </c>
      <c r="M106" s="2850"/>
      <c r="N106" s="2857"/>
      <c r="O106" s="2160"/>
    </row>
    <row r="107" spans="1:15" ht="20.25" customHeight="1" thickBot="1">
      <c r="A107" s="3296" t="s">
        <v>207</v>
      </c>
      <c r="B107" s="3297"/>
      <c r="C107" s="2853"/>
      <c r="D107" s="2854">
        <v>100000</v>
      </c>
      <c r="E107" s="2854">
        <v>100000</v>
      </c>
      <c r="F107" s="2854">
        <v>100000</v>
      </c>
      <c r="G107" s="2854">
        <v>100000</v>
      </c>
      <c r="H107" s="2854">
        <v>100000</v>
      </c>
      <c r="I107" s="2854">
        <v>100000</v>
      </c>
      <c r="J107" s="2854">
        <v>100000</v>
      </c>
      <c r="K107" s="2854">
        <f t="shared" ref="K107" si="25">SUM(K105:K106)</f>
        <v>100000</v>
      </c>
      <c r="L107" s="2855">
        <f t="shared" si="16"/>
        <v>0</v>
      </c>
      <c r="M107" s="2856">
        <f>'Výdaje kapitol celkem'!BV34</f>
        <v>100000</v>
      </c>
      <c r="N107" s="2857">
        <f>+M107-K107</f>
        <v>0</v>
      </c>
      <c r="O107" s="2160"/>
    </row>
    <row r="108" spans="1:15" ht="20.25" customHeight="1" outlineLevel="1">
      <c r="A108" s="2879" t="s">
        <v>193</v>
      </c>
      <c r="B108" s="2878">
        <v>5169</v>
      </c>
      <c r="C108" s="2830" t="s">
        <v>1730</v>
      </c>
      <c r="D108" s="2831">
        <v>50000</v>
      </c>
      <c r="E108" s="2831">
        <v>50000</v>
      </c>
      <c r="F108" s="2831">
        <v>50000</v>
      </c>
      <c r="G108" s="2831">
        <v>50000</v>
      </c>
      <c r="H108" s="2831">
        <v>50000</v>
      </c>
      <c r="I108" s="2831">
        <v>50000</v>
      </c>
      <c r="J108" s="2831">
        <v>55000</v>
      </c>
      <c r="K108" s="2831">
        <f>+'[3]MŠ Pražská'!$B$5</f>
        <v>55000</v>
      </c>
      <c r="L108" s="2828">
        <f t="shared" si="16"/>
        <v>0</v>
      </c>
      <c r="M108" s="2850"/>
      <c r="N108" s="2857"/>
      <c r="O108" s="2160"/>
    </row>
    <row r="109" spans="1:15" ht="20.25" customHeight="1" outlineLevel="1">
      <c r="A109" s="2876" t="s">
        <v>193</v>
      </c>
      <c r="B109" s="2877">
        <v>5169</v>
      </c>
      <c r="C109" s="2872" t="s">
        <v>2193</v>
      </c>
      <c r="D109" s="2873">
        <v>0</v>
      </c>
      <c r="E109" s="2873">
        <v>0</v>
      </c>
      <c r="F109" s="2873">
        <v>0</v>
      </c>
      <c r="G109" s="2873">
        <v>0</v>
      </c>
      <c r="H109" s="2873">
        <v>0</v>
      </c>
      <c r="I109" s="2873">
        <v>0</v>
      </c>
      <c r="J109" s="2873">
        <v>0</v>
      </c>
      <c r="K109" s="2873">
        <f>+'[3]MŠ Pražská'!$B$6</f>
        <v>0</v>
      </c>
      <c r="L109" s="2863">
        <f t="shared" si="16"/>
        <v>0</v>
      </c>
      <c r="M109" s="2850"/>
      <c r="N109" s="2857"/>
      <c r="O109" s="2160"/>
    </row>
    <row r="110" spans="1:15" ht="20.25" customHeight="1" thickBot="1">
      <c r="A110" s="3296" t="s">
        <v>1560</v>
      </c>
      <c r="B110" s="3297"/>
      <c r="C110" s="2853"/>
      <c r="D110" s="2854">
        <v>50000</v>
      </c>
      <c r="E110" s="2854">
        <v>50000</v>
      </c>
      <c r="F110" s="2854">
        <v>50000</v>
      </c>
      <c r="G110" s="2854">
        <v>50000</v>
      </c>
      <c r="H110" s="2854">
        <v>50000</v>
      </c>
      <c r="I110" s="2854">
        <v>50000</v>
      </c>
      <c r="J110" s="2854">
        <v>55000</v>
      </c>
      <c r="K110" s="2854">
        <f t="shared" ref="K110" si="26">SUM(K108:K109)</f>
        <v>55000</v>
      </c>
      <c r="L110" s="2855">
        <f t="shared" si="16"/>
        <v>0</v>
      </c>
      <c r="M110" s="2856">
        <f>'Výdaje kapitol celkem'!BS34</f>
        <v>55000</v>
      </c>
      <c r="N110" s="2857">
        <f>+M110-K110</f>
        <v>0</v>
      </c>
      <c r="O110" s="2160"/>
    </row>
    <row r="111" spans="1:15" ht="20.25" customHeight="1" outlineLevel="1">
      <c r="A111" s="2879" t="s">
        <v>218</v>
      </c>
      <c r="B111" s="2878">
        <v>5169</v>
      </c>
      <c r="C111" s="2830" t="s">
        <v>1723</v>
      </c>
      <c r="D111" s="2816">
        <v>40000</v>
      </c>
      <c r="E111" s="2816">
        <v>40000</v>
      </c>
      <c r="F111" s="2816">
        <v>350000</v>
      </c>
      <c r="G111" s="2816">
        <v>350000</v>
      </c>
      <c r="H111" s="2816">
        <v>350000</v>
      </c>
      <c r="I111" s="2816">
        <v>350000</v>
      </c>
      <c r="J111" s="2816">
        <v>350000</v>
      </c>
      <c r="K111" s="2816">
        <f>+'[3]MŠ Cukrovar'!$B$5</f>
        <v>0</v>
      </c>
      <c r="L111" s="2828">
        <f t="shared" si="16"/>
        <v>-350000</v>
      </c>
      <c r="M111" s="2850"/>
      <c r="N111" s="2857"/>
      <c r="O111" s="2160"/>
    </row>
    <row r="112" spans="1:15" ht="20.25" customHeight="1" outlineLevel="1">
      <c r="A112" s="2876" t="s">
        <v>218</v>
      </c>
      <c r="B112" s="2877">
        <v>5169</v>
      </c>
      <c r="C112" s="2872" t="s">
        <v>1724</v>
      </c>
      <c r="D112" s="2829">
        <v>4000</v>
      </c>
      <c r="E112" s="2829">
        <v>4000</v>
      </c>
      <c r="F112" s="2829">
        <v>4000</v>
      </c>
      <c r="G112" s="2829">
        <v>4000</v>
      </c>
      <c r="H112" s="2829">
        <v>4000</v>
      </c>
      <c r="I112" s="2829">
        <v>4000</v>
      </c>
      <c r="J112" s="2829">
        <v>4000</v>
      </c>
      <c r="K112" s="2829">
        <f>+'[3]MŠ Cukrovar'!$B$6</f>
        <v>4000</v>
      </c>
      <c r="L112" s="2863">
        <f t="shared" si="16"/>
        <v>0</v>
      </c>
      <c r="M112" s="2850"/>
      <c r="N112" s="2857"/>
      <c r="O112" s="2160"/>
    </row>
    <row r="113" spans="1:15" ht="20.25" customHeight="1" outlineLevel="1">
      <c r="A113" s="2876" t="s">
        <v>218</v>
      </c>
      <c r="B113" s="2877">
        <v>5169</v>
      </c>
      <c r="C113" s="2872" t="s">
        <v>1725</v>
      </c>
      <c r="D113" s="2831">
        <v>36000</v>
      </c>
      <c r="E113" s="2831">
        <v>36000</v>
      </c>
      <c r="F113" s="2831">
        <v>76000</v>
      </c>
      <c r="G113" s="2831">
        <v>76000</v>
      </c>
      <c r="H113" s="2831">
        <v>76000</v>
      </c>
      <c r="I113" s="2831">
        <v>76000</v>
      </c>
      <c r="J113" s="2831">
        <v>76000</v>
      </c>
      <c r="K113" s="2831">
        <f>+'[3]MŠ Cukrovar'!$B$7</f>
        <v>61000</v>
      </c>
      <c r="L113" s="2863">
        <f t="shared" si="16"/>
        <v>-15000</v>
      </c>
      <c r="M113" s="2850"/>
      <c r="N113" s="2857"/>
      <c r="O113" s="2160"/>
    </row>
    <row r="114" spans="1:15" ht="20.25" customHeight="1" thickBot="1">
      <c r="A114" s="3296" t="s">
        <v>249</v>
      </c>
      <c r="B114" s="3297"/>
      <c r="C114" s="2853"/>
      <c r="D114" s="2854">
        <v>80000</v>
      </c>
      <c r="E114" s="2854">
        <v>80000</v>
      </c>
      <c r="F114" s="2854">
        <v>430000</v>
      </c>
      <c r="G114" s="2854">
        <v>430000</v>
      </c>
      <c r="H114" s="2854">
        <v>430000</v>
      </c>
      <c r="I114" s="2854">
        <v>430000</v>
      </c>
      <c r="J114" s="2854">
        <v>430000</v>
      </c>
      <c r="K114" s="2854">
        <f t="shared" ref="K114" si="27">SUM(K111:K113)</f>
        <v>65000</v>
      </c>
      <c r="L114" s="2855">
        <f t="shared" si="16"/>
        <v>-365000</v>
      </c>
      <c r="M114" s="2856">
        <f>'Výdaje kapitol celkem'!CC34</f>
        <v>65000</v>
      </c>
      <c r="N114" s="2857">
        <f>+M114-K114</f>
        <v>0</v>
      </c>
      <c r="O114" s="2160"/>
    </row>
    <row r="115" spans="1:15" ht="20.25" customHeight="1" outlineLevel="1">
      <c r="A115" s="2879">
        <v>3635</v>
      </c>
      <c r="B115" s="2878">
        <v>5169</v>
      </c>
      <c r="C115" s="2830" t="s">
        <v>1771</v>
      </c>
      <c r="D115" s="2831">
        <v>100000</v>
      </c>
      <c r="E115" s="2831">
        <v>100000</v>
      </c>
      <c r="F115" s="2831">
        <v>100000</v>
      </c>
      <c r="G115" s="2831">
        <v>100000</v>
      </c>
      <c r="H115" s="2831">
        <v>100000</v>
      </c>
      <c r="I115" s="2831">
        <v>100000</v>
      </c>
      <c r="J115" s="2831">
        <v>100000</v>
      </c>
      <c r="K115" s="2831">
        <f>+'[5]Územní plán 3635'!$B$22</f>
        <v>0</v>
      </c>
      <c r="L115" s="2822">
        <f t="shared" si="16"/>
        <v>-100000</v>
      </c>
      <c r="M115" s="2850"/>
      <c r="N115" s="2857"/>
      <c r="O115" s="2160"/>
    </row>
    <row r="116" spans="1:15" ht="20.25" customHeight="1" outlineLevel="1">
      <c r="A116" s="2876">
        <v>3635</v>
      </c>
      <c r="B116" s="2877">
        <v>5169</v>
      </c>
      <c r="C116" s="2872"/>
      <c r="D116" s="2873">
        <v>0</v>
      </c>
      <c r="E116" s="2873">
        <v>0</v>
      </c>
      <c r="F116" s="2873">
        <v>0</v>
      </c>
      <c r="G116" s="2873">
        <v>0</v>
      </c>
      <c r="H116" s="2873">
        <v>0</v>
      </c>
      <c r="I116" s="2873">
        <v>0</v>
      </c>
      <c r="J116" s="2873">
        <v>0</v>
      </c>
      <c r="K116" s="2873">
        <f>+'[5]Územní plán 3635'!$B$23</f>
        <v>0</v>
      </c>
      <c r="L116" s="2870">
        <f t="shared" si="16"/>
        <v>0</v>
      </c>
      <c r="M116" s="2850"/>
      <c r="N116" s="2857"/>
      <c r="O116" s="2160"/>
    </row>
    <row r="117" spans="1:15" ht="20.25" customHeight="1" thickBot="1">
      <c r="A117" s="3296" t="s">
        <v>1182</v>
      </c>
      <c r="B117" s="3297"/>
      <c r="C117" s="2853"/>
      <c r="D117" s="2854">
        <v>100000</v>
      </c>
      <c r="E117" s="2854">
        <v>100000</v>
      </c>
      <c r="F117" s="2854">
        <v>100000</v>
      </c>
      <c r="G117" s="2854">
        <v>100000</v>
      </c>
      <c r="H117" s="2854">
        <v>100000</v>
      </c>
      <c r="I117" s="2854">
        <v>100000</v>
      </c>
      <c r="J117" s="2854">
        <v>100000</v>
      </c>
      <c r="K117" s="2854">
        <f t="shared" ref="K117" si="28">SUM(K115:K116)</f>
        <v>0</v>
      </c>
      <c r="L117" s="2855">
        <f t="shared" si="16"/>
        <v>-100000</v>
      </c>
      <c r="M117" s="2856">
        <f>'Výdaje kapitol celkem'!CF34</f>
        <v>0</v>
      </c>
      <c r="N117" s="2857">
        <f>+M117-K117</f>
        <v>0</v>
      </c>
      <c r="O117" s="2160"/>
    </row>
    <row r="118" spans="1:15" ht="20.25" hidden="1" customHeight="1" outlineLevel="1">
      <c r="A118" s="2879" t="s">
        <v>194</v>
      </c>
      <c r="B118" s="2878">
        <v>5169</v>
      </c>
      <c r="C118" s="2830"/>
      <c r="D118" s="2831">
        <v>0</v>
      </c>
      <c r="E118" s="2831">
        <v>0</v>
      </c>
      <c r="F118" s="2831">
        <v>0</v>
      </c>
      <c r="G118" s="2831">
        <v>0</v>
      </c>
      <c r="H118" s="2831">
        <v>0</v>
      </c>
      <c r="I118" s="2831">
        <v>0</v>
      </c>
      <c r="J118" s="2831">
        <v>0</v>
      </c>
      <c r="K118" s="2831">
        <f>+'[3]Jídelna ZŠ'!$B$5</f>
        <v>0</v>
      </c>
      <c r="L118" s="2822">
        <f t="shared" si="16"/>
        <v>0</v>
      </c>
      <c r="M118" s="2850"/>
      <c r="N118" s="2857"/>
      <c r="O118" s="2160"/>
    </row>
    <row r="119" spans="1:15" ht="20.25" hidden="1" customHeight="1" outlineLevel="1">
      <c r="A119" s="2876" t="s">
        <v>194</v>
      </c>
      <c r="B119" s="2877">
        <v>5169</v>
      </c>
      <c r="C119" s="2872"/>
      <c r="D119" s="2873">
        <v>0</v>
      </c>
      <c r="E119" s="2873">
        <v>0</v>
      </c>
      <c r="F119" s="2873">
        <v>0</v>
      </c>
      <c r="G119" s="2873">
        <v>0</v>
      </c>
      <c r="H119" s="2873">
        <v>0</v>
      </c>
      <c r="I119" s="2873">
        <v>0</v>
      </c>
      <c r="J119" s="2873">
        <v>0</v>
      </c>
      <c r="K119" s="2873">
        <f>+'[3]Jídelna ZŠ'!$B$6</f>
        <v>0</v>
      </c>
      <c r="L119" s="2870">
        <f t="shared" si="16"/>
        <v>0</v>
      </c>
      <c r="M119" s="2850"/>
      <c r="N119" s="2857"/>
      <c r="O119" s="2160"/>
    </row>
    <row r="120" spans="1:15" ht="20.25" customHeight="1" collapsed="1" thickBot="1">
      <c r="A120" s="3296" t="s">
        <v>209</v>
      </c>
      <c r="B120" s="3297"/>
      <c r="C120" s="2853"/>
      <c r="D120" s="2854">
        <v>0</v>
      </c>
      <c r="E120" s="2854">
        <v>0</v>
      </c>
      <c r="F120" s="2854">
        <v>0</v>
      </c>
      <c r="G120" s="2854">
        <v>0</v>
      </c>
      <c r="H120" s="2854">
        <v>0</v>
      </c>
      <c r="I120" s="2854">
        <v>0</v>
      </c>
      <c r="J120" s="2854">
        <v>0</v>
      </c>
      <c r="K120" s="2854">
        <f t="shared" ref="K120" si="29">SUM(K118:K119)</f>
        <v>0</v>
      </c>
      <c r="L120" s="2855">
        <f t="shared" si="16"/>
        <v>0</v>
      </c>
      <c r="M120" s="2856">
        <f>'Výdaje kapitol celkem'!BY34</f>
        <v>0</v>
      </c>
      <c r="N120" s="2857">
        <f>+M120-K120</f>
        <v>0</v>
      </c>
      <c r="O120" s="2160"/>
    </row>
    <row r="121" spans="1:15" ht="20.25" customHeight="1" outlineLevel="1">
      <c r="A121" s="2879" t="s">
        <v>195</v>
      </c>
      <c r="B121" s="2878">
        <v>5169</v>
      </c>
      <c r="C121" s="2830" t="s">
        <v>1730</v>
      </c>
      <c r="D121" s="2831">
        <v>20000</v>
      </c>
      <c r="E121" s="2831">
        <v>20000</v>
      </c>
      <c r="F121" s="2831">
        <v>20000</v>
      </c>
      <c r="G121" s="2831">
        <v>20000</v>
      </c>
      <c r="H121" s="2831">
        <v>20000</v>
      </c>
      <c r="I121" s="2831">
        <v>20000</v>
      </c>
      <c r="J121" s="2831">
        <v>20000</v>
      </c>
      <c r="K121" s="2831">
        <f>+'[3]Jídelna MŠ'!$B$5</f>
        <v>0</v>
      </c>
      <c r="L121" s="2822">
        <f t="shared" si="16"/>
        <v>-20000</v>
      </c>
      <c r="M121" s="2850"/>
      <c r="N121" s="2857"/>
      <c r="O121" s="2160"/>
    </row>
    <row r="122" spans="1:15" ht="20.25" customHeight="1" outlineLevel="1">
      <c r="A122" s="2876" t="s">
        <v>195</v>
      </c>
      <c r="B122" s="2877">
        <v>5169</v>
      </c>
      <c r="C122" s="2872"/>
      <c r="D122" s="2873">
        <v>0</v>
      </c>
      <c r="E122" s="2873">
        <v>0</v>
      </c>
      <c r="F122" s="2873">
        <v>0</v>
      </c>
      <c r="G122" s="2873">
        <v>0</v>
      </c>
      <c r="H122" s="2873">
        <v>0</v>
      </c>
      <c r="I122" s="2873">
        <v>0</v>
      </c>
      <c r="J122" s="2873">
        <v>0</v>
      </c>
      <c r="K122" s="2873">
        <f>+'[3]Jídelna MŠ'!$B$6</f>
        <v>0</v>
      </c>
      <c r="L122" s="2863">
        <f t="shared" si="16"/>
        <v>0</v>
      </c>
      <c r="M122" s="2850"/>
      <c r="N122" s="2857"/>
      <c r="O122" s="2160"/>
    </row>
    <row r="123" spans="1:15" ht="20.25" customHeight="1" thickBot="1">
      <c r="A123" s="3296" t="s">
        <v>210</v>
      </c>
      <c r="B123" s="3297"/>
      <c r="C123" s="2853"/>
      <c r="D123" s="2854">
        <v>20000</v>
      </c>
      <c r="E123" s="2854">
        <v>20000</v>
      </c>
      <c r="F123" s="2854">
        <v>20000</v>
      </c>
      <c r="G123" s="2854">
        <v>20000</v>
      </c>
      <c r="H123" s="2854">
        <v>20000</v>
      </c>
      <c r="I123" s="2854">
        <v>20000</v>
      </c>
      <c r="J123" s="2854">
        <v>20000</v>
      </c>
      <c r="K123" s="2854">
        <f t="shared" ref="K123" si="30">SUM(K121:K122)</f>
        <v>0</v>
      </c>
      <c r="L123" s="2855">
        <f t="shared" si="16"/>
        <v>-20000</v>
      </c>
      <c r="M123" s="2856">
        <f>'Výdaje kapitol celkem'!CB34</f>
        <v>0</v>
      </c>
      <c r="N123" s="2857">
        <f>+M123-K123</f>
        <v>0</v>
      </c>
      <c r="O123" s="2160"/>
    </row>
    <row r="124" spans="1:15" ht="20.25" customHeight="1" outlineLevel="1">
      <c r="A124" s="2813">
        <v>3631</v>
      </c>
      <c r="B124" s="2814">
        <v>5169</v>
      </c>
      <c r="C124" s="2815" t="s">
        <v>1718</v>
      </c>
      <c r="D124" s="2816">
        <v>100000</v>
      </c>
      <c r="E124" s="2816">
        <v>100000</v>
      </c>
      <c r="F124" s="2816">
        <v>100000</v>
      </c>
      <c r="G124" s="2816">
        <v>100000</v>
      </c>
      <c r="H124" s="2816">
        <v>100000</v>
      </c>
      <c r="I124" s="2816">
        <v>100000</v>
      </c>
      <c r="J124" s="2816">
        <v>100000</v>
      </c>
      <c r="K124" s="2816">
        <f>+[3]VO!$B$21</f>
        <v>17900</v>
      </c>
      <c r="L124" s="2817">
        <f t="shared" si="16"/>
        <v>-82100</v>
      </c>
      <c r="M124" s="2856"/>
      <c r="N124" s="2857"/>
      <c r="O124" s="2160"/>
    </row>
    <row r="125" spans="1:15" ht="20.25" customHeight="1" outlineLevel="1">
      <c r="A125" s="2818">
        <v>3631</v>
      </c>
      <c r="B125" s="2819">
        <v>5169</v>
      </c>
      <c r="C125" s="2820" t="s">
        <v>1719</v>
      </c>
      <c r="D125" s="2821">
        <v>80000</v>
      </c>
      <c r="E125" s="2821">
        <v>80000</v>
      </c>
      <c r="F125" s="2821">
        <v>80000</v>
      </c>
      <c r="G125" s="2821">
        <v>80000</v>
      </c>
      <c r="H125" s="2821">
        <v>80000</v>
      </c>
      <c r="I125" s="2821">
        <v>80000</v>
      </c>
      <c r="J125" s="2821">
        <v>80000</v>
      </c>
      <c r="K125" s="2821">
        <f>+[3]VO!$B$22</f>
        <v>80000</v>
      </c>
      <c r="L125" s="2822">
        <f t="shared" si="16"/>
        <v>0</v>
      </c>
      <c r="M125" s="2856"/>
      <c r="N125" s="2857"/>
      <c r="O125" s="2160"/>
    </row>
    <row r="126" spans="1:15" ht="20.25" customHeight="1" outlineLevel="1">
      <c r="A126" s="2868">
        <v>3631</v>
      </c>
      <c r="B126" s="2866">
        <v>5169</v>
      </c>
      <c r="C126" s="2869" t="s">
        <v>1720</v>
      </c>
      <c r="D126" s="2829">
        <v>0</v>
      </c>
      <c r="E126" s="2829">
        <v>0</v>
      </c>
      <c r="F126" s="2829">
        <v>0</v>
      </c>
      <c r="G126" s="2829">
        <v>0</v>
      </c>
      <c r="H126" s="2829">
        <v>0</v>
      </c>
      <c r="I126" s="2829">
        <v>0</v>
      </c>
      <c r="J126" s="2829">
        <v>0</v>
      </c>
      <c r="K126" s="2829">
        <f>+[3]VO!$B$23</f>
        <v>0</v>
      </c>
      <c r="L126" s="2870">
        <f t="shared" si="16"/>
        <v>0</v>
      </c>
      <c r="M126" s="2856"/>
      <c r="N126" s="2857"/>
      <c r="O126" s="2160"/>
    </row>
    <row r="127" spans="1:15" ht="20.25" customHeight="1" outlineLevel="1">
      <c r="A127" s="2818">
        <v>3631</v>
      </c>
      <c r="B127" s="2866">
        <v>5169</v>
      </c>
      <c r="C127" s="2830" t="s">
        <v>1721</v>
      </c>
      <c r="D127" s="2831">
        <v>12100</v>
      </c>
      <c r="E127" s="2831">
        <v>12100</v>
      </c>
      <c r="F127" s="2831">
        <v>12100</v>
      </c>
      <c r="G127" s="2831">
        <v>12100</v>
      </c>
      <c r="H127" s="2831">
        <v>12100</v>
      </c>
      <c r="I127" s="2831">
        <v>12100</v>
      </c>
      <c r="J127" s="2831">
        <v>12100</v>
      </c>
      <c r="K127" s="2831">
        <f>+[3]VO!$B$24</f>
        <v>12100</v>
      </c>
      <c r="L127" s="2870">
        <f t="shared" si="16"/>
        <v>0</v>
      </c>
      <c r="M127" s="2856"/>
      <c r="N127" s="2857"/>
      <c r="O127" s="2160"/>
    </row>
    <row r="128" spans="1:15" ht="20.25" hidden="1" customHeight="1" outlineLevel="1">
      <c r="A128" s="2879">
        <v>3631</v>
      </c>
      <c r="B128" s="2877">
        <v>5169</v>
      </c>
      <c r="C128" s="2872"/>
      <c r="D128" s="2873"/>
      <c r="E128" s="2873"/>
      <c r="F128" s="2873"/>
      <c r="G128" s="2873"/>
      <c r="H128" s="2873"/>
      <c r="I128" s="2873"/>
      <c r="J128" s="2873"/>
      <c r="K128" s="2873"/>
      <c r="L128" s="2870">
        <f t="shared" si="16"/>
        <v>0</v>
      </c>
      <c r="M128" s="2856"/>
      <c r="N128" s="2857"/>
      <c r="O128" s="2160"/>
    </row>
    <row r="129" spans="1:15" ht="20.25" customHeight="1" thickBot="1">
      <c r="A129" s="3296" t="s">
        <v>630</v>
      </c>
      <c r="B129" s="3297"/>
      <c r="C129" s="2853"/>
      <c r="D129" s="2854">
        <v>192100</v>
      </c>
      <c r="E129" s="2854">
        <v>192100</v>
      </c>
      <c r="F129" s="2854">
        <v>192100</v>
      </c>
      <c r="G129" s="2854">
        <v>192100</v>
      </c>
      <c r="H129" s="2854">
        <v>192100</v>
      </c>
      <c r="I129" s="2854">
        <v>192100</v>
      </c>
      <c r="J129" s="2854">
        <v>192100</v>
      </c>
      <c r="K129" s="2854">
        <f t="shared" ref="K129" si="31">SUM(K124:K128)</f>
        <v>110000</v>
      </c>
      <c r="L129" s="2855">
        <f t="shared" si="16"/>
        <v>-82100</v>
      </c>
      <c r="M129" s="2856">
        <f>'Výdaje kapitol celkem'!CG34</f>
        <v>110000</v>
      </c>
      <c r="N129" s="2857">
        <f>+M129-K129</f>
        <v>0</v>
      </c>
      <c r="O129" s="2160"/>
    </row>
    <row r="130" spans="1:15" ht="20.25" customHeight="1" outlineLevel="1">
      <c r="A130" s="2813">
        <v>2212</v>
      </c>
      <c r="B130" s="2814">
        <v>5169</v>
      </c>
      <c r="C130" s="2815" t="s">
        <v>2360</v>
      </c>
      <c r="D130" s="2816">
        <v>100000</v>
      </c>
      <c r="E130" s="2816">
        <v>100000</v>
      </c>
      <c r="F130" s="2816">
        <v>100000</v>
      </c>
      <c r="G130" s="2816">
        <v>100000</v>
      </c>
      <c r="H130" s="2816">
        <v>100000</v>
      </c>
      <c r="I130" s="2816">
        <v>100000</v>
      </c>
      <c r="J130" s="2816">
        <v>100000</v>
      </c>
      <c r="K130" s="2816">
        <f>+[3]Silnice!$B$33</f>
        <v>20000</v>
      </c>
      <c r="L130" s="2817">
        <f t="shared" si="16"/>
        <v>-80000</v>
      </c>
      <c r="M130" s="2850"/>
      <c r="N130" s="2857"/>
      <c r="O130" s="2160"/>
    </row>
    <row r="131" spans="1:15" ht="20.25" customHeight="1" outlineLevel="1">
      <c r="A131" s="2868">
        <v>2212</v>
      </c>
      <c r="B131" s="2866">
        <v>5169</v>
      </c>
      <c r="C131" s="2869" t="s">
        <v>2203</v>
      </c>
      <c r="D131" s="2829">
        <v>200000</v>
      </c>
      <c r="E131" s="2829">
        <v>200000</v>
      </c>
      <c r="F131" s="2829">
        <v>200000</v>
      </c>
      <c r="G131" s="2829">
        <v>200000</v>
      </c>
      <c r="H131" s="2829">
        <v>200000</v>
      </c>
      <c r="I131" s="2829">
        <v>200000</v>
      </c>
      <c r="J131" s="2829">
        <v>200000</v>
      </c>
      <c r="K131" s="2829">
        <f>+[3]Silnice!$B$31</f>
        <v>50000</v>
      </c>
      <c r="L131" s="2870">
        <f t="shared" si="16"/>
        <v>-150000</v>
      </c>
      <c r="M131" s="2850"/>
      <c r="N131" s="2857"/>
      <c r="O131" s="2160"/>
    </row>
    <row r="132" spans="1:15" ht="20.25" customHeight="1" outlineLevel="1">
      <c r="A132" s="2868">
        <v>2212</v>
      </c>
      <c r="B132" s="2866">
        <v>5169</v>
      </c>
      <c r="C132" s="2869" t="s">
        <v>1697</v>
      </c>
      <c r="D132" s="2829">
        <v>240000</v>
      </c>
      <c r="E132" s="2829">
        <v>240000</v>
      </c>
      <c r="F132" s="2829">
        <v>240000</v>
      </c>
      <c r="G132" s="2829">
        <v>240000</v>
      </c>
      <c r="H132" s="2829">
        <v>240000</v>
      </c>
      <c r="I132" s="2829">
        <v>240000</v>
      </c>
      <c r="J132" s="2829">
        <v>240000</v>
      </c>
      <c r="K132" s="2829">
        <f>+'[4]Silnice světelná křižovatka'!$B$4</f>
        <v>20000</v>
      </c>
      <c r="L132" s="2870">
        <f t="shared" si="16"/>
        <v>-220000</v>
      </c>
      <c r="M132" s="2850"/>
      <c r="N132" s="2857"/>
      <c r="O132" s="2160"/>
    </row>
    <row r="133" spans="1:15" ht="20.25" customHeight="1" outlineLevel="1">
      <c r="A133" s="2868">
        <v>2212</v>
      </c>
      <c r="B133" s="2866">
        <v>5169</v>
      </c>
      <c r="C133" s="2869" t="s">
        <v>1698</v>
      </c>
      <c r="D133" s="2829">
        <v>50000</v>
      </c>
      <c r="E133" s="2829">
        <v>50000</v>
      </c>
      <c r="F133" s="2829">
        <v>50000</v>
      </c>
      <c r="G133" s="2829">
        <v>50000</v>
      </c>
      <c r="H133" s="2829">
        <v>50000</v>
      </c>
      <c r="I133" s="2829">
        <v>50000</v>
      </c>
      <c r="J133" s="2829">
        <v>50000</v>
      </c>
      <c r="K133" s="2829">
        <f>+'[4]Silnice světelná křižovatka'!$B$5</f>
        <v>50000</v>
      </c>
      <c r="L133" s="2870">
        <f t="shared" si="16"/>
        <v>0</v>
      </c>
      <c r="M133" s="2850"/>
      <c r="N133" s="2857"/>
      <c r="O133" s="2160"/>
    </row>
    <row r="134" spans="1:15" outlineLevel="1">
      <c r="A134" s="2879">
        <v>2212</v>
      </c>
      <c r="B134" s="2878">
        <v>5169</v>
      </c>
      <c r="C134" s="2830" t="s">
        <v>2208</v>
      </c>
      <c r="D134" s="2831">
        <v>1200000</v>
      </c>
      <c r="E134" s="2831">
        <v>1200000</v>
      </c>
      <c r="F134" s="2831">
        <v>1200000</v>
      </c>
      <c r="G134" s="2831">
        <v>1200000</v>
      </c>
      <c r="H134" s="2831">
        <v>1200000</v>
      </c>
      <c r="I134" s="2831">
        <v>1200000</v>
      </c>
      <c r="J134" s="2831">
        <v>1200000</v>
      </c>
      <c r="K134" s="2831">
        <f>+[3]Silnice!$B$32</f>
        <v>20000</v>
      </c>
      <c r="L134" s="2822">
        <f t="shared" ref="L134:L197" si="32">+K134-J134</f>
        <v>-1180000</v>
      </c>
      <c r="M134" s="2850"/>
      <c r="N134" s="2857"/>
      <c r="O134" s="2160"/>
    </row>
    <row r="135" spans="1:15" ht="20.25" customHeight="1" thickBot="1">
      <c r="A135" s="3296" t="s">
        <v>254</v>
      </c>
      <c r="B135" s="3297"/>
      <c r="C135" s="2853"/>
      <c r="D135" s="2854">
        <v>1790000</v>
      </c>
      <c r="E135" s="2854">
        <v>1790000</v>
      </c>
      <c r="F135" s="2854">
        <v>1790000</v>
      </c>
      <c r="G135" s="2854">
        <v>1790000</v>
      </c>
      <c r="H135" s="2854">
        <v>1790000</v>
      </c>
      <c r="I135" s="2854">
        <v>1790000</v>
      </c>
      <c r="J135" s="2854">
        <v>1790000</v>
      </c>
      <c r="K135" s="2854">
        <f>SUM(K130:K134)</f>
        <v>160000</v>
      </c>
      <c r="L135" s="2855">
        <f t="shared" si="32"/>
        <v>-1630000</v>
      </c>
      <c r="M135" s="2856">
        <f>'Výdaje kapitol celkem'!CJ34</f>
        <v>160000</v>
      </c>
      <c r="N135" s="2857">
        <f>+M135-K135</f>
        <v>0</v>
      </c>
      <c r="O135" s="2160"/>
    </row>
    <row r="136" spans="1:15" outlineLevel="1">
      <c r="A136" s="2813">
        <v>2310</v>
      </c>
      <c r="B136" s="2814">
        <v>5169</v>
      </c>
      <c r="C136" s="2815" t="s">
        <v>3001</v>
      </c>
      <c r="D136" s="2816">
        <v>100000</v>
      </c>
      <c r="E136" s="2816">
        <v>100000</v>
      </c>
      <c r="F136" s="2816">
        <v>100000</v>
      </c>
      <c r="G136" s="2816">
        <v>100000</v>
      </c>
      <c r="H136" s="2816">
        <v>100000</v>
      </c>
      <c r="I136" s="2816">
        <v>100000</v>
      </c>
      <c r="J136" s="2816">
        <v>100000</v>
      </c>
      <c r="K136" s="2816">
        <f>+[3]Vodovod!$B$12</f>
        <v>12000</v>
      </c>
      <c r="L136" s="2817">
        <f t="shared" si="32"/>
        <v>-88000</v>
      </c>
      <c r="M136" s="2850"/>
      <c r="N136" s="2857"/>
      <c r="O136" s="2160"/>
    </row>
    <row r="137" spans="1:15" outlineLevel="1">
      <c r="A137" s="2879">
        <v>2310</v>
      </c>
      <c r="B137" s="2878">
        <v>5169</v>
      </c>
      <c r="C137" s="2830" t="s">
        <v>1707</v>
      </c>
      <c r="D137" s="2831">
        <v>150000</v>
      </c>
      <c r="E137" s="2831">
        <v>150000</v>
      </c>
      <c r="F137" s="2831">
        <v>150000</v>
      </c>
      <c r="G137" s="2831">
        <v>150000</v>
      </c>
      <c r="H137" s="2831">
        <v>150000</v>
      </c>
      <c r="I137" s="2831">
        <v>150000</v>
      </c>
      <c r="J137" s="2831">
        <v>150000</v>
      </c>
      <c r="K137" s="2831">
        <f>+[3]Vodovod!$B$13</f>
        <v>50000</v>
      </c>
      <c r="L137" s="2822">
        <f t="shared" si="32"/>
        <v>-100000</v>
      </c>
      <c r="M137" s="2850"/>
      <c r="N137" s="2857"/>
      <c r="O137" s="2160"/>
    </row>
    <row r="138" spans="1:15" hidden="1" outlineLevel="1">
      <c r="A138" s="2876">
        <v>2310</v>
      </c>
      <c r="B138" s="2877">
        <v>5169</v>
      </c>
      <c r="C138" s="2872" t="s">
        <v>1708</v>
      </c>
      <c r="D138" s="2873">
        <v>0</v>
      </c>
      <c r="E138" s="2873">
        <v>0</v>
      </c>
      <c r="F138" s="2873">
        <v>0</v>
      </c>
      <c r="G138" s="2873">
        <v>0</v>
      </c>
      <c r="H138" s="2873">
        <v>0</v>
      </c>
      <c r="I138" s="2873">
        <v>0</v>
      </c>
      <c r="J138" s="2873">
        <v>0</v>
      </c>
      <c r="K138" s="2873">
        <f>+[3]Vodovod!$B$14</f>
        <v>0</v>
      </c>
      <c r="L138" s="2870">
        <f t="shared" si="32"/>
        <v>0</v>
      </c>
      <c r="M138" s="2850"/>
      <c r="N138" s="2857"/>
      <c r="O138" s="2160"/>
    </row>
    <row r="139" spans="1:15" ht="20.25" customHeight="1" thickBot="1">
      <c r="A139" s="3296" t="s">
        <v>211</v>
      </c>
      <c r="B139" s="3297"/>
      <c r="C139" s="2853"/>
      <c r="D139" s="2854">
        <v>250000</v>
      </c>
      <c r="E139" s="2854">
        <v>250000</v>
      </c>
      <c r="F139" s="2854">
        <v>250000</v>
      </c>
      <c r="G139" s="2854">
        <v>250000</v>
      </c>
      <c r="H139" s="2854">
        <v>250000</v>
      </c>
      <c r="I139" s="2854">
        <v>250000</v>
      </c>
      <c r="J139" s="2854">
        <v>250000</v>
      </c>
      <c r="K139" s="2854">
        <f t="shared" ref="K139" si="33">SUM(K136:K138)</f>
        <v>62000</v>
      </c>
      <c r="L139" s="2855">
        <f t="shared" si="32"/>
        <v>-188000</v>
      </c>
      <c r="M139" s="2856">
        <f>'Výdaje kapitol celkem'!CN34</f>
        <v>62000</v>
      </c>
      <c r="N139" s="2857">
        <f>+M139-K139</f>
        <v>0</v>
      </c>
      <c r="O139" s="2160"/>
    </row>
    <row r="140" spans="1:15" ht="20.25" customHeight="1" outlineLevel="1">
      <c r="A140" s="2879">
        <v>3633</v>
      </c>
      <c r="B140" s="2878">
        <v>5169</v>
      </c>
      <c r="C140" s="2830" t="s">
        <v>1700</v>
      </c>
      <c r="D140" s="2816">
        <v>100000</v>
      </c>
      <c r="E140" s="2816">
        <v>100000</v>
      </c>
      <c r="F140" s="2816">
        <v>100000</v>
      </c>
      <c r="G140" s="2816">
        <v>100000</v>
      </c>
      <c r="H140" s="2816">
        <v>100000</v>
      </c>
      <c r="I140" s="2816">
        <v>100000</v>
      </c>
      <c r="J140" s="2816">
        <v>100000</v>
      </c>
      <c r="K140" s="2816">
        <f>+'[3]Inženýrské sítě'!$B$5</f>
        <v>0</v>
      </c>
      <c r="L140" s="2828">
        <f t="shared" si="32"/>
        <v>-100000</v>
      </c>
      <c r="M140" s="2850"/>
      <c r="N140" s="2857"/>
      <c r="O140" s="2160"/>
    </row>
    <row r="141" spans="1:15" ht="20.25" customHeight="1" outlineLevel="1">
      <c r="A141" s="2876">
        <v>3633</v>
      </c>
      <c r="B141" s="2877">
        <v>5169</v>
      </c>
      <c r="C141" s="2872" t="s">
        <v>1701</v>
      </c>
      <c r="D141" s="2829">
        <v>350000</v>
      </c>
      <c r="E141" s="2829">
        <v>350000</v>
      </c>
      <c r="F141" s="2829">
        <v>350000</v>
      </c>
      <c r="G141" s="2829">
        <v>350000</v>
      </c>
      <c r="H141" s="2829">
        <v>350000</v>
      </c>
      <c r="I141" s="2829">
        <v>350000</v>
      </c>
      <c r="J141" s="2829">
        <v>350000</v>
      </c>
      <c r="K141" s="2829">
        <f>+'[3]Inženýrské sítě'!$B$6</f>
        <v>350000</v>
      </c>
      <c r="L141" s="2828">
        <f t="shared" si="32"/>
        <v>0</v>
      </c>
      <c r="M141" s="2850"/>
      <c r="N141" s="2857"/>
      <c r="O141" s="2160"/>
    </row>
    <row r="142" spans="1:15" ht="20.25" customHeight="1" thickBot="1">
      <c r="A142" s="3296" t="s">
        <v>251</v>
      </c>
      <c r="B142" s="3297"/>
      <c r="C142" s="2853"/>
      <c r="D142" s="2854">
        <v>450000</v>
      </c>
      <c r="E142" s="2854">
        <v>450000</v>
      </c>
      <c r="F142" s="2854">
        <v>450000</v>
      </c>
      <c r="G142" s="2854">
        <v>450000</v>
      </c>
      <c r="H142" s="2854">
        <v>450000</v>
      </c>
      <c r="I142" s="2854">
        <v>450000</v>
      </c>
      <c r="J142" s="2854">
        <v>450000</v>
      </c>
      <c r="K142" s="2854">
        <f t="shared" ref="K142" si="34">SUM(K140:K141)</f>
        <v>350000</v>
      </c>
      <c r="L142" s="2855">
        <f t="shared" si="32"/>
        <v>-100000</v>
      </c>
      <c r="M142" s="2856">
        <f>'Výdaje kapitol celkem'!CZ34</f>
        <v>350000</v>
      </c>
      <c r="N142" s="2857">
        <f>+M142-K142</f>
        <v>0</v>
      </c>
      <c r="O142" s="2160"/>
    </row>
    <row r="143" spans="1:15" ht="24" outlineLevel="1">
      <c r="A143" s="2879">
        <v>3749</v>
      </c>
      <c r="B143" s="2878">
        <v>5169</v>
      </c>
      <c r="C143" s="2830" t="s">
        <v>2394</v>
      </c>
      <c r="D143" s="2831">
        <v>600000</v>
      </c>
      <c r="E143" s="2831">
        <v>600000</v>
      </c>
      <c r="F143" s="2831">
        <v>600000</v>
      </c>
      <c r="G143" s="2831">
        <v>600000</v>
      </c>
      <c r="H143" s="2831">
        <v>600000</v>
      </c>
      <c r="I143" s="2831">
        <v>600000</v>
      </c>
      <c r="J143" s="2831">
        <v>600000</v>
      </c>
      <c r="K143" s="2831">
        <f>+'[5]Příroda 3749'!$B$22</f>
        <v>600000</v>
      </c>
      <c r="L143" s="2822">
        <f t="shared" si="32"/>
        <v>0</v>
      </c>
      <c r="M143" s="2850"/>
      <c r="N143" s="2857"/>
      <c r="O143" s="2160"/>
    </row>
    <row r="144" spans="1:15" outlineLevel="1">
      <c r="A144" s="2876">
        <v>3749</v>
      </c>
      <c r="B144" s="2877">
        <v>5169</v>
      </c>
      <c r="C144" s="2872" t="s">
        <v>2395</v>
      </c>
      <c r="D144" s="2873">
        <v>150000</v>
      </c>
      <c r="E144" s="2873">
        <v>150000</v>
      </c>
      <c r="F144" s="2873">
        <v>150000</v>
      </c>
      <c r="G144" s="2873">
        <v>150000</v>
      </c>
      <c r="H144" s="2873">
        <v>150000</v>
      </c>
      <c r="I144" s="2873">
        <v>150000</v>
      </c>
      <c r="J144" s="2873">
        <v>150000</v>
      </c>
      <c r="K144" s="2873">
        <f>+'[5]Příroda 3749'!$B$23</f>
        <v>150000</v>
      </c>
      <c r="L144" s="2870">
        <f t="shared" si="32"/>
        <v>0</v>
      </c>
      <c r="M144" s="2850"/>
      <c r="N144" s="2857"/>
      <c r="O144" s="2160"/>
    </row>
    <row r="145" spans="1:15" outlineLevel="1">
      <c r="A145" s="2876">
        <v>3749</v>
      </c>
      <c r="B145" s="2877">
        <v>5169</v>
      </c>
      <c r="C145" s="2872" t="s">
        <v>2396</v>
      </c>
      <c r="D145" s="2873">
        <v>1100000</v>
      </c>
      <c r="E145" s="2873">
        <v>1100000</v>
      </c>
      <c r="F145" s="2873">
        <v>1100000</v>
      </c>
      <c r="G145" s="2873">
        <v>1100000</v>
      </c>
      <c r="H145" s="2873">
        <v>1100000</v>
      </c>
      <c r="I145" s="2873">
        <v>1100000</v>
      </c>
      <c r="J145" s="2873">
        <v>1100000</v>
      </c>
      <c r="K145" s="2873">
        <f>+'[5]Příroda 3749'!$B$24</f>
        <v>1100000</v>
      </c>
      <c r="L145" s="2870">
        <f t="shared" si="32"/>
        <v>0</v>
      </c>
      <c r="M145" s="2850"/>
      <c r="N145" s="2857"/>
      <c r="O145" s="2160"/>
    </row>
    <row r="146" spans="1:15" outlineLevel="1">
      <c r="A146" s="2876">
        <v>3749</v>
      </c>
      <c r="B146" s="2877">
        <v>5169</v>
      </c>
      <c r="C146" s="2872" t="s">
        <v>2607</v>
      </c>
      <c r="D146" s="2873"/>
      <c r="E146" s="2873">
        <v>250000</v>
      </c>
      <c r="F146" s="2873">
        <v>250000</v>
      </c>
      <c r="G146" s="2873">
        <v>250000</v>
      </c>
      <c r="H146" s="2873">
        <v>250000</v>
      </c>
      <c r="I146" s="2873">
        <v>250000</v>
      </c>
      <c r="J146" s="2873">
        <v>250000</v>
      </c>
      <c r="K146" s="2873">
        <f>+'[5]Příroda 3749'!$B$26</f>
        <v>36000</v>
      </c>
      <c r="L146" s="2870">
        <f t="shared" si="32"/>
        <v>-214000</v>
      </c>
      <c r="M146" s="2850"/>
      <c r="N146" s="2857"/>
      <c r="O146" s="2160"/>
    </row>
    <row r="147" spans="1:15" outlineLevel="1">
      <c r="A147" s="2876">
        <v>3749</v>
      </c>
      <c r="B147" s="2877">
        <v>5169</v>
      </c>
      <c r="C147" s="2872" t="s">
        <v>2397</v>
      </c>
      <c r="D147" s="2873">
        <v>400000</v>
      </c>
      <c r="E147" s="2873">
        <v>400000</v>
      </c>
      <c r="F147" s="2873">
        <v>400000</v>
      </c>
      <c r="G147" s="2873">
        <v>400000</v>
      </c>
      <c r="H147" s="2873">
        <v>400000</v>
      </c>
      <c r="I147" s="2873">
        <v>400000</v>
      </c>
      <c r="J147" s="2873">
        <v>400000</v>
      </c>
      <c r="K147" s="2873">
        <f>+'[5]Příroda 3749'!$B$25</f>
        <v>400000</v>
      </c>
      <c r="L147" s="2870">
        <f t="shared" si="32"/>
        <v>0</v>
      </c>
      <c r="M147" s="2850"/>
      <c r="N147" s="2857"/>
      <c r="O147" s="2160"/>
    </row>
    <row r="148" spans="1:15" outlineLevel="1">
      <c r="A148" s="2876">
        <v>3749</v>
      </c>
      <c r="B148" s="2877">
        <v>5169</v>
      </c>
      <c r="C148" s="2872" t="s">
        <v>1777</v>
      </c>
      <c r="D148" s="2873">
        <v>1000000</v>
      </c>
      <c r="E148" s="2873">
        <v>1000000</v>
      </c>
      <c r="F148" s="2873">
        <v>1104000</v>
      </c>
      <c r="G148" s="2873">
        <v>1104000</v>
      </c>
      <c r="H148" s="2873">
        <v>1104000</v>
      </c>
      <c r="I148" s="2873">
        <v>1104000</v>
      </c>
      <c r="J148" s="2873">
        <v>1104000</v>
      </c>
      <c r="K148" s="2873">
        <f>+'[5]Příroda 3749'!$B$27</f>
        <v>1099000</v>
      </c>
      <c r="L148" s="2870">
        <f t="shared" si="32"/>
        <v>-5000</v>
      </c>
      <c r="M148" s="2850"/>
      <c r="N148" s="2857"/>
      <c r="O148" s="2160"/>
    </row>
    <row r="149" spans="1:15" ht="20.25" hidden="1" customHeight="1" outlineLevel="1">
      <c r="A149" s="2876">
        <v>3749</v>
      </c>
      <c r="B149" s="2877">
        <v>5169</v>
      </c>
      <c r="C149" s="2872"/>
      <c r="D149" s="2873"/>
      <c r="E149" s="2873"/>
      <c r="F149" s="2873"/>
      <c r="G149" s="2873"/>
      <c r="H149" s="2873"/>
      <c r="I149" s="2873"/>
      <c r="J149" s="2873"/>
      <c r="K149" s="2873"/>
      <c r="L149" s="2880">
        <f t="shared" si="32"/>
        <v>0</v>
      </c>
      <c r="M149" s="2850"/>
      <c r="N149" s="2857"/>
      <c r="O149" s="2160"/>
    </row>
    <row r="150" spans="1:15" ht="20.25" hidden="1" customHeight="1" outlineLevel="1">
      <c r="A150" s="2876">
        <v>3749</v>
      </c>
      <c r="B150" s="2877">
        <v>5169</v>
      </c>
      <c r="C150" s="2872"/>
      <c r="D150" s="2873"/>
      <c r="E150" s="2873"/>
      <c r="F150" s="2873"/>
      <c r="G150" s="2873"/>
      <c r="H150" s="2873"/>
      <c r="I150" s="2873"/>
      <c r="J150" s="2873"/>
      <c r="K150" s="2873"/>
      <c r="L150" s="2880">
        <f t="shared" si="32"/>
        <v>0</v>
      </c>
      <c r="M150" s="2850"/>
      <c r="N150" s="2857"/>
      <c r="O150" s="2160"/>
    </row>
    <row r="151" spans="1:15" ht="20.25" customHeight="1" thickBot="1">
      <c r="A151" s="3296" t="s">
        <v>624</v>
      </c>
      <c r="B151" s="3297"/>
      <c r="C151" s="2853"/>
      <c r="D151" s="2854">
        <v>3250000</v>
      </c>
      <c r="E151" s="2854">
        <v>3500000</v>
      </c>
      <c r="F151" s="2854">
        <v>3604000</v>
      </c>
      <c r="G151" s="2854">
        <v>3604000</v>
      </c>
      <c r="H151" s="2854">
        <v>3604000</v>
      </c>
      <c r="I151" s="2854">
        <v>3604000</v>
      </c>
      <c r="J151" s="2854">
        <v>3604000</v>
      </c>
      <c r="K151" s="2854">
        <f>SUM(K143:K150)</f>
        <v>3385000</v>
      </c>
      <c r="L151" s="2855">
        <f t="shared" si="32"/>
        <v>-219000</v>
      </c>
      <c r="M151" s="2856">
        <f>'Výdaje kapitol celkem'!DN34</f>
        <v>3385000</v>
      </c>
      <c r="N151" s="2857">
        <f>+M151-K151</f>
        <v>0</v>
      </c>
      <c r="O151" s="2160"/>
    </row>
    <row r="152" spans="1:15" ht="20.25" customHeight="1" outlineLevel="1">
      <c r="A152" s="2879">
        <v>1036</v>
      </c>
      <c r="B152" s="2878">
        <v>5169</v>
      </c>
      <c r="C152" s="2830" t="s">
        <v>1772</v>
      </c>
      <c r="D152" s="2831">
        <v>100000</v>
      </c>
      <c r="E152" s="2831">
        <v>100000</v>
      </c>
      <c r="F152" s="2831">
        <v>100000</v>
      </c>
      <c r="G152" s="2831">
        <v>100000</v>
      </c>
      <c r="H152" s="2831">
        <v>100000</v>
      </c>
      <c r="I152" s="2831">
        <v>100000</v>
      </c>
      <c r="J152" s="2831">
        <v>100000</v>
      </c>
      <c r="K152" s="2831">
        <f>+'[5]Lesy 1036'!$B$6</f>
        <v>100000</v>
      </c>
      <c r="L152" s="2822">
        <f t="shared" si="32"/>
        <v>0</v>
      </c>
      <c r="M152" s="2850"/>
      <c r="N152" s="2857"/>
      <c r="O152" s="2160"/>
    </row>
    <row r="153" spans="1:15" ht="20.25" customHeight="1" outlineLevel="1">
      <c r="A153" s="2876">
        <v>1036</v>
      </c>
      <c r="B153" s="2877">
        <v>5169</v>
      </c>
      <c r="C153" s="2872"/>
      <c r="D153" s="2873">
        <v>0</v>
      </c>
      <c r="E153" s="2873">
        <v>0</v>
      </c>
      <c r="F153" s="2873">
        <v>0</v>
      </c>
      <c r="G153" s="2873">
        <v>0</v>
      </c>
      <c r="H153" s="2873">
        <v>0</v>
      </c>
      <c r="I153" s="2873">
        <v>0</v>
      </c>
      <c r="J153" s="2873">
        <v>0</v>
      </c>
      <c r="K153" s="2873">
        <f>+'[5]Lesy 1036'!$B$7</f>
        <v>0</v>
      </c>
      <c r="L153" s="2870">
        <f t="shared" si="32"/>
        <v>0</v>
      </c>
      <c r="M153" s="2850"/>
      <c r="N153" s="2857"/>
      <c r="O153" s="2160"/>
    </row>
    <row r="154" spans="1:15" ht="20.25" hidden="1" customHeight="1" outlineLevel="1">
      <c r="A154" s="2876">
        <v>1036</v>
      </c>
      <c r="B154" s="2877">
        <v>5169</v>
      </c>
      <c r="C154" s="2869"/>
      <c r="D154" s="2873"/>
      <c r="E154" s="2873"/>
      <c r="F154" s="2873"/>
      <c r="G154" s="2873"/>
      <c r="H154" s="2873"/>
      <c r="I154" s="2873"/>
      <c r="J154" s="2873"/>
      <c r="K154" s="2873"/>
      <c r="L154" s="2863">
        <f t="shared" si="32"/>
        <v>0</v>
      </c>
      <c r="M154" s="2850"/>
      <c r="N154" s="2857"/>
      <c r="O154" s="2160"/>
    </row>
    <row r="155" spans="1:15" ht="20.25" customHeight="1" thickBot="1">
      <c r="A155" s="3296" t="s">
        <v>1200</v>
      </c>
      <c r="B155" s="3297"/>
      <c r="C155" s="2853"/>
      <c r="D155" s="2854">
        <v>100000</v>
      </c>
      <c r="E155" s="2854">
        <v>100000</v>
      </c>
      <c r="F155" s="2854">
        <v>100000</v>
      </c>
      <c r="G155" s="2854">
        <v>100000</v>
      </c>
      <c r="H155" s="2854">
        <v>100000</v>
      </c>
      <c r="I155" s="2854">
        <v>100000</v>
      </c>
      <c r="J155" s="2854">
        <v>100000</v>
      </c>
      <c r="K155" s="2854">
        <f t="shared" ref="K155" si="35">SUM(K152:K154)</f>
        <v>100000</v>
      </c>
      <c r="L155" s="2855">
        <f t="shared" si="32"/>
        <v>0</v>
      </c>
      <c r="M155" s="2856">
        <f>'Výdaje kapitol celkem'!DC34</f>
        <v>100000</v>
      </c>
      <c r="N155" s="2857">
        <f>+M155-K155</f>
        <v>0</v>
      </c>
      <c r="O155" s="2160"/>
    </row>
    <row r="156" spans="1:15" ht="20.25" hidden="1" customHeight="1" outlineLevel="1">
      <c r="A156" s="2879" t="s">
        <v>219</v>
      </c>
      <c r="B156" s="2878">
        <v>5169</v>
      </c>
      <c r="C156" s="2830"/>
      <c r="D156" s="2831"/>
      <c r="E156" s="2831"/>
      <c r="F156" s="2831"/>
      <c r="G156" s="2831"/>
      <c r="H156" s="2831"/>
      <c r="I156" s="2831"/>
      <c r="J156" s="2831"/>
      <c r="K156" s="2831"/>
      <c r="L156" s="2822">
        <f t="shared" si="32"/>
        <v>0</v>
      </c>
      <c r="M156" s="2850"/>
      <c r="N156" s="2857"/>
      <c r="O156" s="2160"/>
    </row>
    <row r="157" spans="1:15" ht="20.25" hidden="1" customHeight="1" outlineLevel="1">
      <c r="A157" s="2876" t="s">
        <v>219</v>
      </c>
      <c r="B157" s="2877">
        <v>5169</v>
      </c>
      <c r="C157" s="2872"/>
      <c r="D157" s="2873"/>
      <c r="E157" s="2873"/>
      <c r="F157" s="2873"/>
      <c r="G157" s="2873"/>
      <c r="H157" s="2873"/>
      <c r="I157" s="2873"/>
      <c r="J157" s="2873"/>
      <c r="K157" s="2873"/>
      <c r="L157" s="2870">
        <f t="shared" si="32"/>
        <v>0</v>
      </c>
      <c r="M157" s="2850"/>
      <c r="N157" s="2857"/>
      <c r="O157" s="2160"/>
    </row>
    <row r="158" spans="1:15" ht="20.25" hidden="1" customHeight="1" outlineLevel="1">
      <c r="A158" s="2876" t="s">
        <v>219</v>
      </c>
      <c r="B158" s="2877">
        <v>5169</v>
      </c>
      <c r="C158" s="2869"/>
      <c r="D158" s="2873"/>
      <c r="E158" s="2873"/>
      <c r="F158" s="2873"/>
      <c r="G158" s="2873"/>
      <c r="H158" s="2873"/>
      <c r="I158" s="2873"/>
      <c r="J158" s="2873"/>
      <c r="K158" s="2873"/>
      <c r="L158" s="2863">
        <f t="shared" si="32"/>
        <v>0</v>
      </c>
      <c r="M158" s="2850"/>
      <c r="N158" s="2857"/>
      <c r="O158" s="2160"/>
    </row>
    <row r="159" spans="1:15" ht="20.25" customHeight="1" collapsed="1" thickBot="1">
      <c r="A159" s="3296" t="s">
        <v>250</v>
      </c>
      <c r="B159" s="3297"/>
      <c r="C159" s="2853"/>
      <c r="D159" s="2854">
        <v>0</v>
      </c>
      <c r="E159" s="2854">
        <v>0</v>
      </c>
      <c r="F159" s="2854">
        <v>0</v>
      </c>
      <c r="G159" s="2854">
        <v>0</v>
      </c>
      <c r="H159" s="2854">
        <v>0</v>
      </c>
      <c r="I159" s="2854">
        <v>0</v>
      </c>
      <c r="J159" s="2854">
        <v>0</v>
      </c>
      <c r="K159" s="2854">
        <f t="shared" ref="K159" si="36">SUM(K156:K158)</f>
        <v>0</v>
      </c>
      <c r="L159" s="2855">
        <f t="shared" si="32"/>
        <v>0</v>
      </c>
      <c r="M159" s="2856">
        <f>'Výdaje kapitol celkem'!CW34</f>
        <v>0</v>
      </c>
      <c r="N159" s="2857">
        <f>+M159-K159</f>
        <v>0</v>
      </c>
      <c r="O159" s="2160"/>
    </row>
    <row r="160" spans="1:15" ht="18.75" customHeight="1" outlineLevel="1">
      <c r="A160" s="2813" t="s">
        <v>196</v>
      </c>
      <c r="B160" s="2814">
        <v>5169</v>
      </c>
      <c r="C160" s="2815" t="s">
        <v>1705</v>
      </c>
      <c r="D160" s="2816">
        <v>50000</v>
      </c>
      <c r="E160" s="2816">
        <v>50000</v>
      </c>
      <c r="F160" s="2816">
        <v>50000</v>
      </c>
      <c r="G160" s="2816">
        <v>50000</v>
      </c>
      <c r="H160" s="2816">
        <v>50000</v>
      </c>
      <c r="I160" s="2816">
        <v>50000</v>
      </c>
      <c r="J160" s="2816">
        <v>50000</v>
      </c>
      <c r="K160" s="2816">
        <f>+[3]Kanalizace!$B$12</f>
        <v>0</v>
      </c>
      <c r="L160" s="2817">
        <f t="shared" si="32"/>
        <v>-50000</v>
      </c>
      <c r="M160" s="2850"/>
      <c r="N160" s="2857"/>
      <c r="O160" s="2160"/>
    </row>
    <row r="161" spans="1:15" ht="18.75" customHeight="1" outlineLevel="1">
      <c r="A161" s="2868" t="s">
        <v>196</v>
      </c>
      <c r="B161" s="2866">
        <v>5169</v>
      </c>
      <c r="C161" s="2869" t="s">
        <v>2803</v>
      </c>
      <c r="D161" s="2829"/>
      <c r="E161" s="2829"/>
      <c r="F161" s="2829"/>
      <c r="G161" s="2829"/>
      <c r="H161" s="2829">
        <v>2900000</v>
      </c>
      <c r="I161" s="2829">
        <v>2900000</v>
      </c>
      <c r="J161" s="2829">
        <v>2900000</v>
      </c>
      <c r="K161" s="2829">
        <f>+[3]Kanalizace!$B$14</f>
        <v>0</v>
      </c>
      <c r="L161" s="2870">
        <f t="shared" si="32"/>
        <v>-2900000</v>
      </c>
      <c r="M161" s="2850"/>
      <c r="N161" s="2857"/>
      <c r="O161" s="2160"/>
    </row>
    <row r="162" spans="1:15" ht="18.75" customHeight="1" outlineLevel="1">
      <c r="A162" s="2818" t="s">
        <v>196</v>
      </c>
      <c r="B162" s="2878">
        <v>5169</v>
      </c>
      <c r="C162" s="2830" t="s">
        <v>2804</v>
      </c>
      <c r="D162" s="2831"/>
      <c r="E162" s="2831"/>
      <c r="F162" s="2831"/>
      <c r="G162" s="2831"/>
      <c r="H162" s="2831">
        <v>270000</v>
      </c>
      <c r="I162" s="2831">
        <v>270000</v>
      </c>
      <c r="J162" s="2831">
        <v>270000</v>
      </c>
      <c r="K162" s="2831">
        <f>+[3]Kanalizace!$B$15</f>
        <v>0</v>
      </c>
      <c r="L162" s="2822">
        <f t="shared" si="32"/>
        <v>-270000</v>
      </c>
      <c r="M162" s="2850"/>
      <c r="N162" s="2857"/>
      <c r="O162" s="2160"/>
    </row>
    <row r="163" spans="1:15" ht="20.25" customHeight="1" outlineLevel="1">
      <c r="A163" s="2876" t="s">
        <v>196</v>
      </c>
      <c r="B163" s="2877">
        <v>5169</v>
      </c>
      <c r="C163" s="2869" t="s">
        <v>1706</v>
      </c>
      <c r="D163" s="2873">
        <v>100000</v>
      </c>
      <c r="E163" s="2873">
        <v>100000</v>
      </c>
      <c r="F163" s="2873">
        <v>100000</v>
      </c>
      <c r="G163" s="2873">
        <v>100000</v>
      </c>
      <c r="H163" s="2873">
        <v>100000</v>
      </c>
      <c r="I163" s="2873">
        <v>100000</v>
      </c>
      <c r="J163" s="2873">
        <v>100000</v>
      </c>
      <c r="K163" s="2873">
        <f>+[3]Kanalizace!$B$13</f>
        <v>0</v>
      </c>
      <c r="L163" s="2863">
        <f t="shared" si="32"/>
        <v>-100000</v>
      </c>
      <c r="M163" s="2850"/>
      <c r="N163" s="2857"/>
      <c r="O163" s="2160"/>
    </row>
    <row r="164" spans="1:15" ht="20.25" customHeight="1" thickBot="1">
      <c r="A164" s="3296" t="s">
        <v>685</v>
      </c>
      <c r="B164" s="3297"/>
      <c r="C164" s="2853"/>
      <c r="D164" s="2854">
        <v>150000</v>
      </c>
      <c r="E164" s="2854">
        <v>150000</v>
      </c>
      <c r="F164" s="2854">
        <v>150000</v>
      </c>
      <c r="G164" s="2854">
        <v>150000</v>
      </c>
      <c r="H164" s="2854">
        <v>3320000</v>
      </c>
      <c r="I164" s="2854">
        <v>3320000</v>
      </c>
      <c r="J164" s="2854">
        <v>3320000</v>
      </c>
      <c r="K164" s="2854">
        <f t="shared" ref="K164" si="37">SUM(K160:K163)</f>
        <v>0</v>
      </c>
      <c r="L164" s="2855">
        <f t="shared" si="32"/>
        <v>-3320000</v>
      </c>
      <c r="M164" s="2856">
        <f>'Výdaje kapitol celkem'!CT34</f>
        <v>0</v>
      </c>
      <c r="N164" s="2857">
        <f>+M164-K164</f>
        <v>0</v>
      </c>
      <c r="O164" s="2160"/>
    </row>
    <row r="165" spans="1:15" ht="16.5" customHeight="1" outlineLevel="1">
      <c r="A165" s="2813" t="s">
        <v>500</v>
      </c>
      <c r="B165" s="2814">
        <v>5169</v>
      </c>
      <c r="C165" s="2815" t="s">
        <v>2278</v>
      </c>
      <c r="D165" s="2816">
        <v>3900000</v>
      </c>
      <c r="E165" s="2816">
        <v>3900000</v>
      </c>
      <c r="F165" s="2816">
        <v>3900000</v>
      </c>
      <c r="G165" s="2816">
        <v>3900000</v>
      </c>
      <c r="H165" s="2816">
        <v>3900000</v>
      </c>
      <c r="I165" s="2816">
        <v>3900000</v>
      </c>
      <c r="J165" s="2816">
        <v>3900000</v>
      </c>
      <c r="K165" s="2816">
        <f>+'[5]Popelnice 3722'!$B$22</f>
        <v>3900000</v>
      </c>
      <c r="L165" s="2817">
        <f t="shared" si="32"/>
        <v>0</v>
      </c>
      <c r="M165" s="2850"/>
      <c r="N165" s="2857"/>
      <c r="O165" s="2160"/>
    </row>
    <row r="166" spans="1:15" ht="16.5" customHeight="1" outlineLevel="1">
      <c r="A166" s="2868" t="s">
        <v>500</v>
      </c>
      <c r="B166" s="2866">
        <v>5169</v>
      </c>
      <c r="C166" s="2869" t="s">
        <v>2279</v>
      </c>
      <c r="D166" s="2829">
        <v>800000</v>
      </c>
      <c r="E166" s="2829">
        <v>800000</v>
      </c>
      <c r="F166" s="2829">
        <v>800000</v>
      </c>
      <c r="G166" s="2829">
        <v>800000</v>
      </c>
      <c r="H166" s="2829">
        <v>800000</v>
      </c>
      <c r="I166" s="2829">
        <v>800000</v>
      </c>
      <c r="J166" s="2829">
        <v>800000</v>
      </c>
      <c r="K166" s="2829">
        <f>+'[5]Popelnice 3722'!$B$23</f>
        <v>800000</v>
      </c>
      <c r="L166" s="2870">
        <f t="shared" si="32"/>
        <v>0</v>
      </c>
      <c r="M166" s="2850"/>
      <c r="N166" s="2857"/>
      <c r="O166" s="2160"/>
    </row>
    <row r="167" spans="1:15" ht="16.5" customHeight="1" outlineLevel="1">
      <c r="A167" s="2818" t="s">
        <v>500</v>
      </c>
      <c r="B167" s="2819">
        <v>5169</v>
      </c>
      <c r="C167" s="2820" t="s">
        <v>1779</v>
      </c>
      <c r="D167" s="2821">
        <v>200000</v>
      </c>
      <c r="E167" s="2821">
        <v>200000</v>
      </c>
      <c r="F167" s="2821">
        <v>200000</v>
      </c>
      <c r="G167" s="2821">
        <v>200000</v>
      </c>
      <c r="H167" s="2821">
        <v>200000</v>
      </c>
      <c r="I167" s="2821">
        <v>200000</v>
      </c>
      <c r="J167" s="2821">
        <v>200000</v>
      </c>
      <c r="K167" s="2821">
        <f>+'[5]Popelnice 3722'!$B$24</f>
        <v>200000</v>
      </c>
      <c r="L167" s="2870">
        <f t="shared" si="32"/>
        <v>0</v>
      </c>
      <c r="M167" s="2850"/>
      <c r="N167" s="2857"/>
      <c r="O167" s="2160"/>
    </row>
    <row r="168" spans="1:15" ht="16.5" customHeight="1" outlineLevel="1">
      <c r="A168" s="2818" t="s">
        <v>500</v>
      </c>
      <c r="B168" s="2819">
        <v>5169</v>
      </c>
      <c r="C168" s="2820" t="s">
        <v>2280</v>
      </c>
      <c r="D168" s="2821">
        <v>1000000</v>
      </c>
      <c r="E168" s="2821">
        <v>1000000</v>
      </c>
      <c r="F168" s="2821">
        <v>1000000</v>
      </c>
      <c r="G168" s="2821">
        <v>1000000</v>
      </c>
      <c r="H168" s="2821">
        <v>1000000</v>
      </c>
      <c r="I168" s="2821">
        <v>1000000</v>
      </c>
      <c r="J168" s="2821">
        <v>1000000</v>
      </c>
      <c r="K168" s="2821">
        <f>+'[5]Popelnice 3722'!$B$25</f>
        <v>1000000</v>
      </c>
      <c r="L168" s="2870">
        <f t="shared" si="32"/>
        <v>0</v>
      </c>
      <c r="M168" s="2850"/>
      <c r="N168" s="2857"/>
      <c r="O168" s="2160"/>
    </row>
    <row r="169" spans="1:15" ht="16.5" customHeight="1" outlineLevel="1">
      <c r="A169" s="2818" t="s">
        <v>500</v>
      </c>
      <c r="B169" s="2819">
        <v>5169</v>
      </c>
      <c r="C169" s="2820" t="s">
        <v>2281</v>
      </c>
      <c r="D169" s="2821">
        <v>350000</v>
      </c>
      <c r="E169" s="2821">
        <v>350000</v>
      </c>
      <c r="F169" s="2821">
        <v>350000</v>
      </c>
      <c r="G169" s="2821">
        <v>350000</v>
      </c>
      <c r="H169" s="2821">
        <v>350000</v>
      </c>
      <c r="I169" s="2821">
        <v>350000</v>
      </c>
      <c r="J169" s="2821">
        <v>350000</v>
      </c>
      <c r="K169" s="2821">
        <f>+'[5]Popelnice 3722'!$B$26</f>
        <v>350000</v>
      </c>
      <c r="L169" s="2822">
        <f t="shared" si="32"/>
        <v>0</v>
      </c>
      <c r="M169" s="2850"/>
      <c r="N169" s="2857"/>
      <c r="O169" s="2160"/>
    </row>
    <row r="170" spans="1:15" ht="16.5" customHeight="1" outlineLevel="1">
      <c r="A170" s="2818" t="s">
        <v>2287</v>
      </c>
      <c r="B170" s="2819">
        <v>5170</v>
      </c>
      <c r="C170" s="2820" t="s">
        <v>1778</v>
      </c>
      <c r="D170" s="2821">
        <v>800000</v>
      </c>
      <c r="E170" s="2821">
        <v>800000</v>
      </c>
      <c r="F170" s="2821">
        <v>800000</v>
      </c>
      <c r="G170" s="2821">
        <v>800000</v>
      </c>
      <c r="H170" s="2821">
        <v>800000</v>
      </c>
      <c r="I170" s="2821">
        <v>800000</v>
      </c>
      <c r="J170" s="2821">
        <v>800000</v>
      </c>
      <c r="K170" s="2821">
        <f>+'[5]Popelnice 3722'!$B$27</f>
        <v>800000</v>
      </c>
      <c r="L170" s="2822">
        <f t="shared" si="32"/>
        <v>0</v>
      </c>
      <c r="M170" s="2850"/>
      <c r="N170" s="2857"/>
      <c r="O170" s="2160"/>
    </row>
    <row r="171" spans="1:15" ht="16.5" customHeight="1" outlineLevel="1">
      <c r="A171" s="2818" t="s">
        <v>2288</v>
      </c>
      <c r="B171" s="2819">
        <v>5171</v>
      </c>
      <c r="C171" s="2820" t="s">
        <v>1780</v>
      </c>
      <c r="D171" s="2821">
        <v>50000</v>
      </c>
      <c r="E171" s="2821">
        <v>50000</v>
      </c>
      <c r="F171" s="2821">
        <v>50000</v>
      </c>
      <c r="G171" s="2821">
        <v>50000</v>
      </c>
      <c r="H171" s="2821">
        <v>50000</v>
      </c>
      <c r="I171" s="2821">
        <v>50000</v>
      </c>
      <c r="J171" s="2821">
        <v>50000</v>
      </c>
      <c r="K171" s="2821">
        <f>+'[5]Popelnice 3722'!$B$28</f>
        <v>0</v>
      </c>
      <c r="L171" s="2822">
        <f t="shared" si="32"/>
        <v>-50000</v>
      </c>
      <c r="M171" s="2850"/>
      <c r="N171" s="2857"/>
      <c r="O171" s="2160"/>
    </row>
    <row r="172" spans="1:15" ht="20.25" hidden="1" customHeight="1" outlineLevel="1">
      <c r="A172" s="2879" t="s">
        <v>500</v>
      </c>
      <c r="B172" s="2878">
        <v>5169</v>
      </c>
      <c r="C172" s="2830"/>
      <c r="D172" s="2881">
        <v>0</v>
      </c>
      <c r="E172" s="2881">
        <v>0</v>
      </c>
      <c r="F172" s="2881">
        <v>0</v>
      </c>
      <c r="G172" s="2881">
        <v>0</v>
      </c>
      <c r="H172" s="2881">
        <v>0</v>
      </c>
      <c r="I172" s="2881">
        <v>0</v>
      </c>
      <c r="J172" s="2881">
        <v>0</v>
      </c>
      <c r="K172" s="2881">
        <f>+'[5]Popelnice 3722'!$B$29</f>
        <v>0</v>
      </c>
      <c r="L172" s="2828">
        <f t="shared" si="32"/>
        <v>0</v>
      </c>
      <c r="M172" s="2850"/>
      <c r="N172" s="2857"/>
      <c r="O172" s="2160"/>
    </row>
    <row r="173" spans="1:15" ht="20.25" customHeight="1" thickBot="1">
      <c r="A173" s="3296" t="s">
        <v>1210</v>
      </c>
      <c r="B173" s="3297"/>
      <c r="C173" s="2853"/>
      <c r="D173" s="2854">
        <v>7100000</v>
      </c>
      <c r="E173" s="2854">
        <v>7100000</v>
      </c>
      <c r="F173" s="2854">
        <v>7100000</v>
      </c>
      <c r="G173" s="2854">
        <v>7100000</v>
      </c>
      <c r="H173" s="2854">
        <v>7100000</v>
      </c>
      <c r="I173" s="2854">
        <v>7100000</v>
      </c>
      <c r="J173" s="2854">
        <v>7100000</v>
      </c>
      <c r="K173" s="2854">
        <f>SUM(K165:K172)</f>
        <v>7050000</v>
      </c>
      <c r="L173" s="2855">
        <f t="shared" si="32"/>
        <v>-50000</v>
      </c>
      <c r="M173" s="2856">
        <f>+'Výdaje kapitol celkem'!DD34</f>
        <v>7050000</v>
      </c>
      <c r="N173" s="2857">
        <f>+M173-K173</f>
        <v>0</v>
      </c>
      <c r="O173" s="2160"/>
    </row>
    <row r="174" spans="1:15" ht="20.25" hidden="1" customHeight="1" outlineLevel="1">
      <c r="A174" s="2813" t="s">
        <v>181</v>
      </c>
      <c r="B174" s="2814">
        <v>5169</v>
      </c>
      <c r="C174" s="2815" t="s">
        <v>1773</v>
      </c>
      <c r="D174" s="2816"/>
      <c r="E174" s="2816"/>
      <c r="F174" s="2816"/>
      <c r="G174" s="2816"/>
      <c r="H174" s="2816"/>
      <c r="I174" s="2816"/>
      <c r="J174" s="2816"/>
      <c r="K174" s="2816"/>
      <c r="L174" s="2817">
        <f t="shared" si="32"/>
        <v>0</v>
      </c>
      <c r="M174" s="2850"/>
      <c r="N174" s="2857"/>
      <c r="O174" s="2160"/>
    </row>
    <row r="175" spans="1:15" ht="18.75" hidden="1" customHeight="1" outlineLevel="1">
      <c r="A175" s="2868" t="s">
        <v>181</v>
      </c>
      <c r="B175" s="2866">
        <v>5169</v>
      </c>
      <c r="C175" s="2869"/>
      <c r="D175" s="2829"/>
      <c r="E175" s="2829"/>
      <c r="F175" s="2829"/>
      <c r="G175" s="2829"/>
      <c r="H175" s="2829"/>
      <c r="I175" s="2829"/>
      <c r="J175" s="2829"/>
      <c r="K175" s="2829"/>
      <c r="L175" s="2863">
        <f t="shared" si="32"/>
        <v>0</v>
      </c>
      <c r="M175" s="2850"/>
      <c r="N175" s="2857"/>
      <c r="O175" s="2160"/>
    </row>
    <row r="176" spans="1:15" ht="20.25" hidden="1" customHeight="1" outlineLevel="1">
      <c r="A176" s="2879" t="s">
        <v>181</v>
      </c>
      <c r="B176" s="2878">
        <v>5169</v>
      </c>
      <c r="C176" s="2830"/>
      <c r="D176" s="2831"/>
      <c r="E176" s="2831"/>
      <c r="F176" s="2831"/>
      <c r="G176" s="2831"/>
      <c r="H176" s="2831"/>
      <c r="I176" s="2831"/>
      <c r="J176" s="2831"/>
      <c r="K176" s="2831"/>
      <c r="L176" s="2828">
        <f t="shared" si="32"/>
        <v>0</v>
      </c>
      <c r="M176" s="2850"/>
      <c r="N176" s="2857"/>
      <c r="O176" s="2160"/>
    </row>
    <row r="177" spans="1:15" ht="20.25" customHeight="1" collapsed="1" thickBot="1">
      <c r="A177" s="3296" t="s">
        <v>1202</v>
      </c>
      <c r="B177" s="3297"/>
      <c r="C177" s="2853"/>
      <c r="D177" s="2854">
        <v>0</v>
      </c>
      <c r="E177" s="2854">
        <v>0</v>
      </c>
      <c r="F177" s="2854">
        <v>0</v>
      </c>
      <c r="G177" s="2854">
        <v>0</v>
      </c>
      <c r="H177" s="2854">
        <v>0</v>
      </c>
      <c r="I177" s="2854">
        <v>0</v>
      </c>
      <c r="J177" s="2854">
        <v>0</v>
      </c>
      <c r="K177" s="2854">
        <f t="shared" ref="K177" si="38">SUM(K174:K176)</f>
        <v>0</v>
      </c>
      <c r="L177" s="2855">
        <f t="shared" si="32"/>
        <v>0</v>
      </c>
      <c r="M177" s="2856">
        <f>'Výdaje kapitol celkem'!DG34</f>
        <v>0</v>
      </c>
      <c r="N177" s="2857">
        <f>+M177-K177</f>
        <v>0</v>
      </c>
      <c r="O177" s="2160"/>
    </row>
    <row r="178" spans="1:15" ht="20.25" customHeight="1" outlineLevel="1">
      <c r="A178" s="2813">
        <v>3729</v>
      </c>
      <c r="B178" s="2814">
        <v>5169</v>
      </c>
      <c r="C178" s="2815" t="s">
        <v>1774</v>
      </c>
      <c r="D178" s="2816">
        <v>100000</v>
      </c>
      <c r="E178" s="2816">
        <v>100000</v>
      </c>
      <c r="F178" s="2816">
        <v>100000</v>
      </c>
      <c r="G178" s="2816">
        <v>100000</v>
      </c>
      <c r="H178" s="2816">
        <v>100000</v>
      </c>
      <c r="I178" s="2816">
        <v>100000</v>
      </c>
      <c r="J178" s="2816">
        <v>100000</v>
      </c>
      <c r="K178" s="2816">
        <f>+'[5]Černé skládky 3729'!$B$6</f>
        <v>100000</v>
      </c>
      <c r="L178" s="2817">
        <f t="shared" si="32"/>
        <v>0</v>
      </c>
      <c r="M178" s="2850"/>
      <c r="N178" s="2857"/>
      <c r="O178" s="2160"/>
    </row>
    <row r="179" spans="1:15" ht="20.25" customHeight="1">
      <c r="A179" s="2879">
        <v>3729</v>
      </c>
      <c r="B179" s="2878">
        <v>5169</v>
      </c>
      <c r="C179" s="2830"/>
      <c r="D179" s="2881">
        <v>0</v>
      </c>
      <c r="E179" s="2881">
        <v>0</v>
      </c>
      <c r="F179" s="2881">
        <v>0</v>
      </c>
      <c r="G179" s="2881">
        <v>0</v>
      </c>
      <c r="H179" s="2881">
        <v>0</v>
      </c>
      <c r="I179" s="2881">
        <v>0</v>
      </c>
      <c r="J179" s="2881">
        <v>0</v>
      </c>
      <c r="K179" s="2881">
        <f>+'[5]Černé skládky 3729'!$B$7</f>
        <v>0</v>
      </c>
      <c r="L179" s="2828">
        <f t="shared" si="32"/>
        <v>0</v>
      </c>
      <c r="M179" s="2850"/>
      <c r="N179" s="2857"/>
      <c r="O179" s="2160"/>
    </row>
    <row r="180" spans="1:15" ht="20.25" customHeight="1" thickBot="1">
      <c r="A180" s="3296" t="s">
        <v>1203</v>
      </c>
      <c r="B180" s="3297"/>
      <c r="C180" s="2853"/>
      <c r="D180" s="2854">
        <v>100000</v>
      </c>
      <c r="E180" s="2854">
        <v>100000</v>
      </c>
      <c r="F180" s="2854">
        <v>100000</v>
      </c>
      <c r="G180" s="2854">
        <v>100000</v>
      </c>
      <c r="H180" s="2854">
        <v>100000</v>
      </c>
      <c r="I180" s="2854">
        <v>100000</v>
      </c>
      <c r="J180" s="2854">
        <v>100000</v>
      </c>
      <c r="K180" s="2854">
        <f t="shared" ref="K180" si="39">SUM(K178:K179)</f>
        <v>100000</v>
      </c>
      <c r="L180" s="2855">
        <f t="shared" si="32"/>
        <v>0</v>
      </c>
      <c r="M180" s="2856">
        <f>'Výdaje kapitol celkem'!DJ34</f>
        <v>100000</v>
      </c>
      <c r="N180" s="2857">
        <f>+M180-K180</f>
        <v>0</v>
      </c>
      <c r="O180" s="2160"/>
    </row>
    <row r="181" spans="1:15" ht="20.25" customHeight="1" outlineLevel="1">
      <c r="A181" s="2813">
        <v>3744</v>
      </c>
      <c r="B181" s="2814">
        <v>5169</v>
      </c>
      <c r="C181" s="2815" t="s">
        <v>1775</v>
      </c>
      <c r="D181" s="2816">
        <v>60000</v>
      </c>
      <c r="E181" s="2816">
        <v>60000</v>
      </c>
      <c r="F181" s="2816">
        <v>60000</v>
      </c>
      <c r="G181" s="2816">
        <v>60000</v>
      </c>
      <c r="H181" s="2816">
        <v>60000</v>
      </c>
      <c r="I181" s="2816">
        <v>60000</v>
      </c>
      <c r="J181" s="2816">
        <v>60000</v>
      </c>
      <c r="K181" s="2816">
        <f>+'[5]Povodeň 3744'!$B$14</f>
        <v>0</v>
      </c>
      <c r="L181" s="2817">
        <f t="shared" si="32"/>
        <v>-60000</v>
      </c>
      <c r="M181" s="2850"/>
      <c r="N181" s="2857"/>
      <c r="O181" s="2160"/>
    </row>
    <row r="182" spans="1:15" ht="20.25" customHeight="1" outlineLevel="1">
      <c r="A182" s="2868">
        <v>3744</v>
      </c>
      <c r="B182" s="2866">
        <v>5169</v>
      </c>
      <c r="C182" s="2869" t="s">
        <v>3002</v>
      </c>
      <c r="D182" s="2829">
        <v>6500</v>
      </c>
      <c r="E182" s="2829">
        <v>6500</v>
      </c>
      <c r="F182" s="2829">
        <v>6500</v>
      </c>
      <c r="G182" s="2829">
        <v>6500</v>
      </c>
      <c r="H182" s="2829">
        <v>6500</v>
      </c>
      <c r="I182" s="2829">
        <v>6500</v>
      </c>
      <c r="J182" s="2829">
        <v>6500</v>
      </c>
      <c r="K182" s="2829">
        <f>+'[5]Povodeň 3744'!$B$15</f>
        <v>0</v>
      </c>
      <c r="L182" s="2870">
        <f t="shared" si="32"/>
        <v>-6500</v>
      </c>
      <c r="M182" s="2850"/>
      <c r="N182" s="2857"/>
      <c r="O182" s="2160"/>
    </row>
    <row r="183" spans="1:15" ht="20.25" customHeight="1">
      <c r="A183" s="2879">
        <v>3744</v>
      </c>
      <c r="B183" s="2878">
        <v>5169</v>
      </c>
      <c r="C183" s="2830" t="s">
        <v>1776</v>
      </c>
      <c r="D183" s="2831">
        <v>0</v>
      </c>
      <c r="E183" s="2831">
        <v>0</v>
      </c>
      <c r="F183" s="2831">
        <v>35000</v>
      </c>
      <c r="G183" s="2831">
        <v>35000</v>
      </c>
      <c r="H183" s="2831">
        <v>35000</v>
      </c>
      <c r="I183" s="2831">
        <v>35000</v>
      </c>
      <c r="J183" s="2831">
        <v>35000</v>
      </c>
      <c r="K183" s="2831">
        <f>+'[5]Povodeň 3744'!$B$16</f>
        <v>33000</v>
      </c>
      <c r="L183" s="2822">
        <f t="shared" si="32"/>
        <v>-2000</v>
      </c>
      <c r="M183" s="2850"/>
      <c r="N183" s="2857"/>
      <c r="O183" s="2160"/>
    </row>
    <row r="184" spans="1:15" ht="20.25" customHeight="1" thickBot="1">
      <c r="A184" s="3296" t="s">
        <v>1187</v>
      </c>
      <c r="B184" s="3297"/>
      <c r="C184" s="2853"/>
      <c r="D184" s="2854">
        <v>66500</v>
      </c>
      <c r="E184" s="2854">
        <v>66500</v>
      </c>
      <c r="F184" s="2854">
        <v>101500</v>
      </c>
      <c r="G184" s="2854">
        <v>101500</v>
      </c>
      <c r="H184" s="2854">
        <v>101500</v>
      </c>
      <c r="I184" s="2854">
        <v>101500</v>
      </c>
      <c r="J184" s="2854">
        <v>101500</v>
      </c>
      <c r="K184" s="2854">
        <f t="shared" ref="K184" si="40">SUM(K181:K183)</f>
        <v>33000</v>
      </c>
      <c r="L184" s="2855">
        <f t="shared" si="32"/>
        <v>-68500</v>
      </c>
      <c r="M184" s="2856">
        <f>'Výdaje kapitol celkem'!DM34</f>
        <v>33000</v>
      </c>
      <c r="N184" s="2857">
        <f>+M184-K184</f>
        <v>0</v>
      </c>
      <c r="O184" s="2160"/>
    </row>
    <row r="185" spans="1:15" ht="20.25" customHeight="1" outlineLevel="1">
      <c r="A185" s="2813" t="s">
        <v>296</v>
      </c>
      <c r="B185" s="2814">
        <v>5169</v>
      </c>
      <c r="C185" s="2815" t="s">
        <v>1702</v>
      </c>
      <c r="D185" s="2816">
        <v>5000</v>
      </c>
      <c r="E185" s="2816">
        <v>5000</v>
      </c>
      <c r="F185" s="2816">
        <v>5000</v>
      </c>
      <c r="G185" s="2816">
        <v>5000</v>
      </c>
      <c r="H185" s="2816">
        <v>5000</v>
      </c>
      <c r="I185" s="2816">
        <v>5000</v>
      </c>
      <c r="J185" s="2816">
        <v>5000</v>
      </c>
      <c r="K185" s="2816">
        <f>+[3]Rybníky!$B$5</f>
        <v>5000</v>
      </c>
      <c r="L185" s="2817">
        <f t="shared" si="32"/>
        <v>0</v>
      </c>
      <c r="M185" s="2850"/>
      <c r="N185" s="2857"/>
      <c r="O185" s="2160"/>
    </row>
    <row r="186" spans="1:15" ht="13.5" customHeight="1" outlineLevel="1">
      <c r="A186" s="2868" t="s">
        <v>296</v>
      </c>
      <c r="B186" s="2866">
        <v>5169</v>
      </c>
      <c r="C186" s="2869"/>
      <c r="D186" s="2829">
        <v>0</v>
      </c>
      <c r="E186" s="2829">
        <v>0</v>
      </c>
      <c r="F186" s="2829">
        <v>0</v>
      </c>
      <c r="G186" s="2829">
        <v>0</v>
      </c>
      <c r="H186" s="2829">
        <v>0</v>
      </c>
      <c r="I186" s="2829">
        <v>0</v>
      </c>
      <c r="J186" s="2829">
        <v>0</v>
      </c>
      <c r="K186" s="2829">
        <f>+[3]Rybníky!$B$6</f>
        <v>0</v>
      </c>
      <c r="L186" s="2863">
        <f t="shared" si="32"/>
        <v>0</v>
      </c>
      <c r="M186" s="2850"/>
      <c r="N186" s="2857"/>
      <c r="O186" s="2160"/>
    </row>
    <row r="187" spans="1:15" ht="15.75" hidden="1" customHeight="1" outlineLevel="1">
      <c r="A187" s="2868" t="s">
        <v>296</v>
      </c>
      <c r="B187" s="2866">
        <v>5169</v>
      </c>
      <c r="C187" s="2869"/>
      <c r="D187" s="2829"/>
      <c r="E187" s="2829"/>
      <c r="F187" s="2829"/>
      <c r="G187" s="2829"/>
      <c r="H187" s="2829"/>
      <c r="I187" s="2829"/>
      <c r="J187" s="2829"/>
      <c r="K187" s="2829"/>
      <c r="L187" s="2870">
        <f t="shared" si="32"/>
        <v>0</v>
      </c>
      <c r="M187" s="2850"/>
      <c r="N187" s="2857"/>
      <c r="O187" s="2160"/>
    </row>
    <row r="188" spans="1:15" ht="20.25" customHeight="1" thickBot="1">
      <c r="A188" s="3296" t="s">
        <v>1188</v>
      </c>
      <c r="B188" s="3297"/>
      <c r="C188" s="2853"/>
      <c r="D188" s="2854">
        <v>5000</v>
      </c>
      <c r="E188" s="2854">
        <v>5000</v>
      </c>
      <c r="F188" s="2854">
        <v>5000</v>
      </c>
      <c r="G188" s="2854">
        <v>5000</v>
      </c>
      <c r="H188" s="2854">
        <v>5000</v>
      </c>
      <c r="I188" s="2854">
        <v>5000</v>
      </c>
      <c r="J188" s="2854">
        <v>5000</v>
      </c>
      <c r="K188" s="2854">
        <f t="shared" ref="K188" si="41">SUM(K185:K187)</f>
        <v>5000</v>
      </c>
      <c r="L188" s="2855">
        <f t="shared" si="32"/>
        <v>0</v>
      </c>
      <c r="M188" s="2856">
        <f>'Výdaje kapitol celkem'!DR34</f>
        <v>5000</v>
      </c>
      <c r="N188" s="2857">
        <f>+M188-K188</f>
        <v>0</v>
      </c>
      <c r="O188" s="2160"/>
    </row>
    <row r="189" spans="1:15" ht="20.25" hidden="1" customHeight="1" outlineLevel="1">
      <c r="A189" s="2813" t="s">
        <v>263</v>
      </c>
      <c r="B189" s="2814">
        <v>5169</v>
      </c>
      <c r="C189" s="2882"/>
      <c r="D189" s="2816"/>
      <c r="E189" s="2816"/>
      <c r="F189" s="2816"/>
      <c r="G189" s="2816"/>
      <c r="H189" s="2816"/>
      <c r="I189" s="2816"/>
      <c r="J189" s="2816"/>
      <c r="K189" s="2816"/>
      <c r="L189" s="2883">
        <f t="shared" si="32"/>
        <v>0</v>
      </c>
      <c r="M189" s="2856"/>
      <c r="N189" s="2857"/>
      <c r="O189" s="2160"/>
    </row>
    <row r="190" spans="1:15" ht="20.25" hidden="1" customHeight="1" outlineLevel="1">
      <c r="A190" s="2868" t="s">
        <v>263</v>
      </c>
      <c r="B190" s="2866">
        <v>5169</v>
      </c>
      <c r="C190" s="2884"/>
      <c r="D190" s="2875"/>
      <c r="E190" s="2875"/>
      <c r="F190" s="2875"/>
      <c r="G190" s="2875"/>
      <c r="H190" s="2875"/>
      <c r="I190" s="2875"/>
      <c r="J190" s="2875"/>
      <c r="K190" s="2875"/>
      <c r="L190" s="2863">
        <f t="shared" si="32"/>
        <v>0</v>
      </c>
      <c r="M190" s="2856"/>
      <c r="N190" s="2857"/>
      <c r="O190" s="2160"/>
    </row>
    <row r="191" spans="1:15" ht="26.25" customHeight="1" collapsed="1" thickBot="1">
      <c r="A191" s="3296" t="s">
        <v>3003</v>
      </c>
      <c r="B191" s="3297"/>
      <c r="C191" s="2853"/>
      <c r="D191" s="2854">
        <v>0</v>
      </c>
      <c r="E191" s="2854">
        <v>0</v>
      </c>
      <c r="F191" s="2854">
        <v>0</v>
      </c>
      <c r="G191" s="2854">
        <v>0</v>
      </c>
      <c r="H191" s="2854">
        <v>0</v>
      </c>
      <c r="I191" s="2854">
        <v>0</v>
      </c>
      <c r="J191" s="2854">
        <v>0</v>
      </c>
      <c r="K191" s="2854">
        <f t="shared" ref="K191" si="42">SUM(K189:K190)</f>
        <v>0</v>
      </c>
      <c r="L191" s="2855">
        <f t="shared" si="32"/>
        <v>0</v>
      </c>
      <c r="M191" s="2856">
        <f>'Výdaje kapitol celkem'!DV34</f>
        <v>0</v>
      </c>
      <c r="N191" s="2857">
        <f>+M191-K191</f>
        <v>0</v>
      </c>
      <c r="O191" s="2160"/>
    </row>
    <row r="192" spans="1:15" ht="20.25" hidden="1" customHeight="1" outlineLevel="1">
      <c r="A192" s="2813" t="s">
        <v>724</v>
      </c>
      <c r="B192" s="2814">
        <v>5169</v>
      </c>
      <c r="C192" s="2815"/>
      <c r="D192" s="2816"/>
      <c r="E192" s="2816"/>
      <c r="F192" s="2816"/>
      <c r="G192" s="2816"/>
      <c r="H192" s="2816"/>
      <c r="I192" s="2816"/>
      <c r="J192" s="2816"/>
      <c r="K192" s="2816"/>
      <c r="L192" s="2817">
        <f t="shared" si="32"/>
        <v>0</v>
      </c>
      <c r="M192" s="2850"/>
      <c r="N192" s="2857"/>
      <c r="O192" s="2160"/>
    </row>
    <row r="193" spans="1:15" ht="20.25" hidden="1" customHeight="1" outlineLevel="1">
      <c r="A193" s="2879" t="s">
        <v>724</v>
      </c>
      <c r="B193" s="2878">
        <v>5169</v>
      </c>
      <c r="C193" s="2830"/>
      <c r="D193" s="2881"/>
      <c r="E193" s="2881"/>
      <c r="F193" s="2881"/>
      <c r="G193" s="2881"/>
      <c r="H193" s="2881"/>
      <c r="I193" s="2881"/>
      <c r="J193" s="2881"/>
      <c r="K193" s="2881"/>
      <c r="L193" s="2828">
        <f t="shared" si="32"/>
        <v>0</v>
      </c>
      <c r="M193" s="2850"/>
      <c r="N193" s="2857"/>
      <c r="O193" s="2160"/>
    </row>
    <row r="194" spans="1:15" ht="20.25" customHeight="1" collapsed="1" thickBot="1">
      <c r="A194" s="3296" t="s">
        <v>1211</v>
      </c>
      <c r="B194" s="3297"/>
      <c r="C194" s="2853"/>
      <c r="D194" s="2854">
        <v>0</v>
      </c>
      <c r="E194" s="2854">
        <v>0</v>
      </c>
      <c r="F194" s="2854">
        <v>0</v>
      </c>
      <c r="G194" s="2854">
        <v>0</v>
      </c>
      <c r="H194" s="2854">
        <v>0</v>
      </c>
      <c r="I194" s="2854">
        <v>0</v>
      </c>
      <c r="J194" s="2854">
        <v>0</v>
      </c>
      <c r="K194" s="2854">
        <f t="shared" ref="K194" si="43">SUM(K192:K193)</f>
        <v>0</v>
      </c>
      <c r="L194" s="2855">
        <f t="shared" si="32"/>
        <v>0</v>
      </c>
      <c r="M194" s="2856">
        <f>'Výdaje kapitol celkem'!DS34</f>
        <v>0</v>
      </c>
      <c r="N194" s="2857">
        <f>+M194-K194</f>
        <v>0</v>
      </c>
      <c r="O194" s="2160"/>
    </row>
    <row r="195" spans="1:15" ht="20.25" hidden="1" customHeight="1" outlineLevel="1">
      <c r="A195" s="2813" t="s">
        <v>725</v>
      </c>
      <c r="B195" s="2814">
        <v>5169</v>
      </c>
      <c r="C195" s="2815"/>
      <c r="D195" s="2816"/>
      <c r="E195" s="2816"/>
      <c r="F195" s="2816"/>
      <c r="G195" s="2816"/>
      <c r="H195" s="2816"/>
      <c r="I195" s="2816"/>
      <c r="J195" s="2816"/>
      <c r="K195" s="2816"/>
      <c r="L195" s="2817">
        <f t="shared" si="32"/>
        <v>0</v>
      </c>
      <c r="M195" s="2850"/>
      <c r="N195" s="2857"/>
      <c r="O195" s="2160"/>
    </row>
    <row r="196" spans="1:15" ht="20.25" hidden="1" customHeight="1" outlineLevel="1">
      <c r="A196" s="2879" t="s">
        <v>725</v>
      </c>
      <c r="B196" s="2878">
        <v>5169</v>
      </c>
      <c r="C196" s="2830"/>
      <c r="D196" s="2881"/>
      <c r="E196" s="2881"/>
      <c r="F196" s="2881"/>
      <c r="G196" s="2881"/>
      <c r="H196" s="2881"/>
      <c r="I196" s="2881"/>
      <c r="J196" s="2881"/>
      <c r="K196" s="2881"/>
      <c r="L196" s="2828">
        <f t="shared" si="32"/>
        <v>0</v>
      </c>
      <c r="M196" s="2850"/>
      <c r="N196" s="2857"/>
      <c r="O196" s="2160"/>
    </row>
    <row r="197" spans="1:15" ht="23.25" customHeight="1" collapsed="1" thickBot="1">
      <c r="A197" s="3296" t="s">
        <v>1189</v>
      </c>
      <c r="B197" s="3297"/>
      <c r="C197" s="2853"/>
      <c r="D197" s="2854">
        <v>0</v>
      </c>
      <c r="E197" s="2854">
        <v>0</v>
      </c>
      <c r="F197" s="2854">
        <v>0</v>
      </c>
      <c r="G197" s="2854">
        <v>0</v>
      </c>
      <c r="H197" s="2854">
        <v>0</v>
      </c>
      <c r="I197" s="2854">
        <v>0</v>
      </c>
      <c r="J197" s="2854">
        <v>0</v>
      </c>
      <c r="K197" s="2854">
        <f t="shared" ref="K197" si="44">SUM(K195:K196)</f>
        <v>0</v>
      </c>
      <c r="L197" s="2855">
        <f t="shared" si="32"/>
        <v>0</v>
      </c>
      <c r="M197" s="2856">
        <f>'Výdaje kapitol celkem'!DT34</f>
        <v>0</v>
      </c>
      <c r="N197" s="2857">
        <f>+M197-K197</f>
        <v>0</v>
      </c>
      <c r="O197" s="2160"/>
    </row>
    <row r="198" spans="1:15" ht="15" hidden="1" customHeight="1" outlineLevel="1">
      <c r="A198" s="2813" t="s">
        <v>182</v>
      </c>
      <c r="B198" s="2814">
        <v>5169</v>
      </c>
      <c r="C198" s="2815" t="s">
        <v>1778</v>
      </c>
      <c r="D198" s="2816"/>
      <c r="E198" s="2816"/>
      <c r="F198" s="2816"/>
      <c r="G198" s="2816"/>
      <c r="H198" s="2816"/>
      <c r="I198" s="2816"/>
      <c r="J198" s="2816"/>
      <c r="K198" s="2816"/>
      <c r="L198" s="2885">
        <f t="shared" ref="L198:L213" si="45">+K198-J198</f>
        <v>0</v>
      </c>
      <c r="M198" s="2850"/>
      <c r="N198" s="2857"/>
      <c r="O198" s="2160"/>
    </row>
    <row r="199" spans="1:15" ht="15" hidden="1" customHeight="1" outlineLevel="1">
      <c r="A199" s="2868" t="s">
        <v>182</v>
      </c>
      <c r="B199" s="2819">
        <v>5169</v>
      </c>
      <c r="C199" s="2820" t="s">
        <v>1779</v>
      </c>
      <c r="D199" s="2821"/>
      <c r="E199" s="2821"/>
      <c r="F199" s="2821"/>
      <c r="G199" s="2821"/>
      <c r="H199" s="2821"/>
      <c r="I199" s="2821"/>
      <c r="J199" s="2821"/>
      <c r="K199" s="2821"/>
      <c r="L199" s="2822">
        <f t="shared" si="45"/>
        <v>0</v>
      </c>
      <c r="M199" s="2850"/>
      <c r="N199" s="2857"/>
      <c r="O199" s="2160"/>
    </row>
    <row r="200" spans="1:15" ht="15" hidden="1" customHeight="1" outlineLevel="1">
      <c r="A200" s="2868" t="s">
        <v>182</v>
      </c>
      <c r="B200" s="2866">
        <v>5169</v>
      </c>
      <c r="C200" s="2869" t="s">
        <v>1780</v>
      </c>
      <c r="D200" s="2829"/>
      <c r="E200" s="2829"/>
      <c r="F200" s="2829"/>
      <c r="G200" s="2829"/>
      <c r="H200" s="2829"/>
      <c r="I200" s="2829"/>
      <c r="J200" s="2829"/>
      <c r="K200" s="2829"/>
      <c r="L200" s="2870">
        <f t="shared" si="45"/>
        <v>0</v>
      </c>
      <c r="M200" s="2850"/>
      <c r="N200" s="2857"/>
      <c r="O200" s="2160"/>
    </row>
    <row r="201" spans="1:15" ht="19.5" hidden="1" customHeight="1" outlineLevel="1">
      <c r="A201" s="2879" t="s">
        <v>182</v>
      </c>
      <c r="B201" s="2878">
        <v>5169</v>
      </c>
      <c r="C201" s="2830"/>
      <c r="D201" s="2831"/>
      <c r="E201" s="2831"/>
      <c r="F201" s="2831"/>
      <c r="G201" s="2831"/>
      <c r="H201" s="2831"/>
      <c r="I201" s="2831"/>
      <c r="J201" s="2831"/>
      <c r="K201" s="2831"/>
      <c r="L201" s="2828">
        <f t="shared" si="45"/>
        <v>0</v>
      </c>
      <c r="M201" s="2850"/>
      <c r="N201" s="2857"/>
      <c r="O201" s="2160"/>
    </row>
    <row r="202" spans="1:15" ht="20.25" customHeight="1" collapsed="1" thickBot="1">
      <c r="A202" s="3296" t="s">
        <v>1204</v>
      </c>
      <c r="B202" s="3297"/>
      <c r="C202" s="2853"/>
      <c r="D202" s="2854">
        <v>0</v>
      </c>
      <c r="E202" s="2854">
        <v>0</v>
      </c>
      <c r="F202" s="2854">
        <v>0</v>
      </c>
      <c r="G202" s="2854">
        <v>0</v>
      </c>
      <c r="H202" s="2854">
        <v>0</v>
      </c>
      <c r="I202" s="2854">
        <v>0</v>
      </c>
      <c r="J202" s="2854">
        <v>0</v>
      </c>
      <c r="K202" s="2854">
        <f t="shared" ref="K202" si="46">SUM(K198:K201)</f>
        <v>0</v>
      </c>
      <c r="L202" s="2855">
        <f t="shared" si="45"/>
        <v>0</v>
      </c>
      <c r="M202" s="2856">
        <f>'Výdaje kapitol celkem'!DY34</f>
        <v>0</v>
      </c>
      <c r="N202" s="2857">
        <f>+M202-K202</f>
        <v>0</v>
      </c>
      <c r="O202" s="2160"/>
    </row>
    <row r="203" spans="1:15" ht="20.25" customHeight="1" outlineLevel="1">
      <c r="A203" s="2813">
        <v>3114</v>
      </c>
      <c r="B203" s="2814">
        <v>5169</v>
      </c>
      <c r="C203" s="2815" t="s">
        <v>1737</v>
      </c>
      <c r="D203" s="2816">
        <v>50000</v>
      </c>
      <c r="E203" s="2816">
        <v>50000</v>
      </c>
      <c r="F203" s="2816">
        <v>50000</v>
      </c>
      <c r="G203" s="2816">
        <v>50000</v>
      </c>
      <c r="H203" s="2816">
        <v>50000</v>
      </c>
      <c r="I203" s="2816">
        <v>50000</v>
      </c>
      <c r="J203" s="2816">
        <v>50000</v>
      </c>
      <c r="K203" s="2816">
        <f>+'[3]Č.p. 65'!$B$5</f>
        <v>15000</v>
      </c>
      <c r="L203" s="2817">
        <f t="shared" si="45"/>
        <v>-35000</v>
      </c>
      <c r="M203" s="2850"/>
      <c r="N203" s="2857"/>
      <c r="O203" s="2160"/>
    </row>
    <row r="204" spans="1:15" ht="20.25" customHeight="1" outlineLevel="1">
      <c r="A204" s="2868">
        <v>3114</v>
      </c>
      <c r="B204" s="2866">
        <v>5169</v>
      </c>
      <c r="C204" s="2869" t="s">
        <v>1738</v>
      </c>
      <c r="D204" s="2829">
        <v>10000</v>
      </c>
      <c r="E204" s="2829">
        <v>10000</v>
      </c>
      <c r="F204" s="2829">
        <v>10000</v>
      </c>
      <c r="G204" s="2829">
        <v>10000</v>
      </c>
      <c r="H204" s="2829">
        <v>10000</v>
      </c>
      <c r="I204" s="2829">
        <v>10000</v>
      </c>
      <c r="J204" s="2829">
        <v>10000</v>
      </c>
      <c r="K204" s="2829">
        <f>+'[3]Č.p. 65'!$B$6</f>
        <v>10000</v>
      </c>
      <c r="L204" s="2863">
        <f t="shared" si="45"/>
        <v>0</v>
      </c>
      <c r="M204" s="2850"/>
      <c r="N204" s="2857"/>
      <c r="O204" s="2160"/>
    </row>
    <row r="205" spans="1:15" ht="20.25" customHeight="1" outlineLevel="1">
      <c r="A205" s="2868">
        <v>3114</v>
      </c>
      <c r="B205" s="2866">
        <v>5169</v>
      </c>
      <c r="C205" s="2869" t="s">
        <v>1770</v>
      </c>
      <c r="D205" s="2829">
        <v>20000</v>
      </c>
      <c r="E205" s="2829">
        <v>20000</v>
      </c>
      <c r="F205" s="2829">
        <v>20000</v>
      </c>
      <c r="G205" s="2829">
        <v>20000</v>
      </c>
      <c r="H205" s="2829">
        <v>20000</v>
      </c>
      <c r="I205" s="2829">
        <v>20000</v>
      </c>
      <c r="J205" s="2829">
        <v>20000</v>
      </c>
      <c r="K205" s="2829">
        <f>+[2]č.p.65!$B$26</f>
        <v>20000</v>
      </c>
      <c r="L205" s="2863">
        <f t="shared" si="45"/>
        <v>0</v>
      </c>
      <c r="M205" s="2850"/>
      <c r="N205" s="2857"/>
      <c r="O205" s="2160"/>
    </row>
    <row r="206" spans="1:15" ht="20.25" hidden="1" customHeight="1" outlineLevel="1">
      <c r="A206" s="2868">
        <v>3114</v>
      </c>
      <c r="B206" s="2866">
        <v>5169</v>
      </c>
      <c r="C206" s="2869"/>
      <c r="D206" s="2829">
        <v>0</v>
      </c>
      <c r="E206" s="2829">
        <v>0</v>
      </c>
      <c r="F206" s="2829">
        <v>0</v>
      </c>
      <c r="G206" s="2829">
        <v>0</v>
      </c>
      <c r="H206" s="2829">
        <v>0</v>
      </c>
      <c r="I206" s="2829">
        <v>0</v>
      </c>
      <c r="J206" s="2829">
        <v>0</v>
      </c>
      <c r="K206" s="2829">
        <f>+[2]č.p.65!$B$27</f>
        <v>0</v>
      </c>
      <c r="L206" s="2863">
        <f t="shared" si="45"/>
        <v>0</v>
      </c>
      <c r="M206" s="2850"/>
      <c r="N206" s="2857"/>
      <c r="O206" s="2160"/>
    </row>
    <row r="207" spans="1:15" ht="20.25" hidden="1" customHeight="1" outlineLevel="1">
      <c r="A207" s="2865"/>
      <c r="B207" s="2866"/>
      <c r="C207" s="2830"/>
      <c r="D207" s="2831"/>
      <c r="E207" s="2831"/>
      <c r="F207" s="2831"/>
      <c r="G207" s="2831"/>
      <c r="H207" s="2831"/>
      <c r="I207" s="2831"/>
      <c r="J207" s="2831"/>
      <c r="K207" s="2831"/>
      <c r="L207" s="2867">
        <f t="shared" si="45"/>
        <v>0</v>
      </c>
      <c r="M207" s="2850"/>
      <c r="N207" s="2857"/>
      <c r="O207" s="2160"/>
    </row>
    <row r="208" spans="1:15" ht="20.25" customHeight="1" thickBot="1">
      <c r="A208" s="3296" t="s">
        <v>212</v>
      </c>
      <c r="B208" s="3297"/>
      <c r="C208" s="2853"/>
      <c r="D208" s="2854">
        <v>80000</v>
      </c>
      <c r="E208" s="2854">
        <v>80000</v>
      </c>
      <c r="F208" s="2854">
        <v>80000</v>
      </c>
      <c r="G208" s="2854">
        <v>80000</v>
      </c>
      <c r="H208" s="2854">
        <v>80000</v>
      </c>
      <c r="I208" s="2854">
        <v>80000</v>
      </c>
      <c r="J208" s="2854">
        <v>80000</v>
      </c>
      <c r="K208" s="2854">
        <f>SUM(K203:K207)</f>
        <v>45000</v>
      </c>
      <c r="L208" s="2855">
        <f t="shared" si="45"/>
        <v>-35000</v>
      </c>
      <c r="M208" s="2856">
        <f>'Výdaje kapitol celkem'!BM34</f>
        <v>45000</v>
      </c>
      <c r="N208" s="2857">
        <f>+M208-K208</f>
        <v>0</v>
      </c>
      <c r="O208" s="2160"/>
    </row>
    <row r="209" spans="1:15" ht="20.25" hidden="1" customHeight="1" outlineLevel="1">
      <c r="A209" s="2879" t="s">
        <v>198</v>
      </c>
      <c r="B209" s="2878">
        <v>5169</v>
      </c>
      <c r="C209" s="2830"/>
      <c r="D209" s="2831"/>
      <c r="E209" s="2831"/>
      <c r="F209" s="2831"/>
      <c r="G209" s="2831"/>
      <c r="H209" s="2831"/>
      <c r="I209" s="2831"/>
      <c r="J209" s="2831"/>
      <c r="K209" s="2831"/>
      <c r="L209" s="2822">
        <f t="shared" si="45"/>
        <v>0</v>
      </c>
      <c r="M209" s="2850"/>
      <c r="N209" s="2857"/>
      <c r="O209" s="2160"/>
    </row>
    <row r="210" spans="1:15" ht="20.25" hidden="1" customHeight="1" outlineLevel="1">
      <c r="A210" s="2868" t="s">
        <v>198</v>
      </c>
      <c r="B210" s="2866">
        <v>5169</v>
      </c>
      <c r="C210" s="2869"/>
      <c r="D210" s="2829"/>
      <c r="E210" s="2829"/>
      <c r="F210" s="2829"/>
      <c r="G210" s="2829"/>
      <c r="H210" s="2829"/>
      <c r="I210" s="2829"/>
      <c r="J210" s="2829"/>
      <c r="K210" s="2829"/>
      <c r="L210" s="2870">
        <f t="shared" si="45"/>
        <v>0</v>
      </c>
      <c r="M210" s="2850"/>
      <c r="N210" s="2857"/>
      <c r="O210" s="2160"/>
    </row>
    <row r="211" spans="1:15" ht="20.25" hidden="1" customHeight="1" outlineLevel="1">
      <c r="A211" s="2818" t="s">
        <v>198</v>
      </c>
      <c r="B211" s="2819">
        <v>5169</v>
      </c>
      <c r="C211" s="2820"/>
      <c r="D211" s="2827"/>
      <c r="E211" s="2827"/>
      <c r="F211" s="2827"/>
      <c r="G211" s="2827"/>
      <c r="H211" s="2827"/>
      <c r="I211" s="2827"/>
      <c r="J211" s="2827"/>
      <c r="K211" s="2827"/>
      <c r="L211" s="2828">
        <f t="shared" si="45"/>
        <v>0</v>
      </c>
      <c r="M211" s="2850"/>
      <c r="N211" s="2857"/>
      <c r="O211" s="2160"/>
    </row>
    <row r="212" spans="1:15" ht="24" customHeight="1" collapsed="1" thickBot="1">
      <c r="A212" s="3296" t="s">
        <v>215</v>
      </c>
      <c r="B212" s="3297"/>
      <c r="C212" s="2853"/>
      <c r="D212" s="2854">
        <v>0</v>
      </c>
      <c r="E212" s="2854">
        <v>0</v>
      </c>
      <c r="F212" s="2854">
        <v>0</v>
      </c>
      <c r="G212" s="2854">
        <v>0</v>
      </c>
      <c r="H212" s="2854">
        <v>0</v>
      </c>
      <c r="I212" s="2854">
        <v>0</v>
      </c>
      <c r="J212" s="2854">
        <v>0</v>
      </c>
      <c r="K212" s="2854">
        <f t="shared" ref="K212" si="47">SUM(K209:K211)</f>
        <v>0</v>
      </c>
      <c r="L212" s="2855">
        <f t="shared" si="45"/>
        <v>0</v>
      </c>
      <c r="M212" s="2856">
        <f>'Výdaje kapitol celkem'!CQ34</f>
        <v>0</v>
      </c>
      <c r="N212" s="2857">
        <f>+M212-K212</f>
        <v>0</v>
      </c>
      <c r="O212" s="2160"/>
    </row>
    <row r="213" spans="1:15" s="2858" customFormat="1" ht="18" customHeight="1" thickBot="1">
      <c r="A213" s="3291" t="s">
        <v>501</v>
      </c>
      <c r="B213" s="3292"/>
      <c r="C213" s="3293"/>
      <c r="D213" s="2833">
        <v>22138600</v>
      </c>
      <c r="E213" s="2833">
        <v>22388600</v>
      </c>
      <c r="F213" s="2833">
        <v>23057600</v>
      </c>
      <c r="G213" s="2833">
        <v>23057600</v>
      </c>
      <c r="H213" s="2833">
        <v>26481700</v>
      </c>
      <c r="I213" s="2833">
        <v>26481700</v>
      </c>
      <c r="J213" s="2833">
        <v>26471700</v>
      </c>
      <c r="K213" s="2833">
        <f>+K7+K10+K20+K23+K29+K33+K36+K42+K45+K52+K55+K58+K65+K70+K73+K77+K81+K87+K101+K104+K107+K110+K114+K117+K120+K123+K129+K135+K139+K142+K151+K155+K159+K164+K173+K177+K180+K184+K188+K202+K208+K212+K194+K14+K197+K191+K96+K91+K62+K26</f>
        <v>20798000</v>
      </c>
      <c r="L213" s="2834">
        <f t="shared" si="45"/>
        <v>-5673700</v>
      </c>
      <c r="M213" s="2856"/>
      <c r="N213" s="2886"/>
      <c r="O213" s="2160"/>
    </row>
    <row r="214" spans="1:15">
      <c r="A214" s="2847"/>
      <c r="B214" s="2847"/>
      <c r="C214" s="2847"/>
      <c r="D214" s="2887">
        <v>22138600</v>
      </c>
      <c r="E214" s="2887">
        <v>22388600</v>
      </c>
      <c r="F214" s="2887">
        <v>23057600</v>
      </c>
      <c r="G214" s="2887">
        <v>23057600</v>
      </c>
      <c r="H214" s="2887">
        <v>26481700</v>
      </c>
      <c r="I214" s="2887">
        <v>26481700</v>
      </c>
      <c r="J214" s="2887">
        <v>26471700</v>
      </c>
      <c r="K214" s="2887">
        <f>'Výdaje kapitol celkem'!K34</f>
        <v>20798000</v>
      </c>
      <c r="L214" s="2849"/>
      <c r="M214" s="2850"/>
      <c r="N214" s="2851"/>
    </row>
    <row r="215" spans="1:15" s="2889" customFormat="1">
      <c r="A215" s="2888"/>
      <c r="B215" s="2888"/>
      <c r="C215" s="2888" t="s">
        <v>217</v>
      </c>
      <c r="D215" s="2888">
        <v>0</v>
      </c>
      <c r="E215" s="2888">
        <v>0</v>
      </c>
      <c r="F215" s="2888">
        <v>0</v>
      </c>
      <c r="G215" s="2888">
        <v>0</v>
      </c>
      <c r="H215" s="2888">
        <v>0</v>
      </c>
      <c r="I215" s="2888">
        <v>0</v>
      </c>
      <c r="J215" s="2888">
        <v>0</v>
      </c>
      <c r="K215" s="2849">
        <f>+K214-K213</f>
        <v>0</v>
      </c>
      <c r="L215" s="2849"/>
      <c r="M215" s="2850"/>
      <c r="N215" s="2851"/>
    </row>
    <row r="216" spans="1:15">
      <c r="A216" s="2890" t="s">
        <v>545</v>
      </c>
      <c r="B216" s="2847"/>
      <c r="C216" s="2847"/>
      <c r="D216" s="2847"/>
      <c r="E216" s="2847"/>
      <c r="F216" s="2847"/>
      <c r="G216" s="2847"/>
      <c r="H216" s="2847"/>
      <c r="I216" s="2847"/>
      <c r="J216" s="2847"/>
      <c r="K216" s="2887"/>
      <c r="L216" s="2849"/>
      <c r="M216" s="2850"/>
      <c r="N216" s="2851"/>
    </row>
  </sheetData>
  <sheetProtection algorithmName="SHA-512" hashValue="4DRMvYl/DmYPNLEM6FD7K8W0xKpa5ZBlI/7h0EBmYgUNHAkxM3w6TLErDjFokgOfs1/vpxOxP/j5f+rL368eWw==" saltValue="u8oME2X3WelgyyWdWrKZ0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62:B62"/>
    <mergeCell ref="A197:B197"/>
    <mergeCell ref="A202:B202"/>
    <mergeCell ref="A208:B208"/>
    <mergeCell ref="A212:B212"/>
    <mergeCell ref="A180:B180"/>
    <mergeCell ref="A184:B184"/>
    <mergeCell ref="A188:B188"/>
    <mergeCell ref="A191:B191"/>
    <mergeCell ref="A194:B194"/>
    <mergeCell ref="A155:B155"/>
    <mergeCell ref="A159:B159"/>
    <mergeCell ref="A164:B164"/>
    <mergeCell ref="A173:B173"/>
    <mergeCell ref="A177:B177"/>
    <mergeCell ref="A129:B129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87:B87"/>
    <mergeCell ref="A91:B91"/>
    <mergeCell ref="A96:B96"/>
    <mergeCell ref="A101:B101"/>
    <mergeCell ref="A104:B104"/>
    <mergeCell ref="A65:B65"/>
    <mergeCell ref="A70:B70"/>
    <mergeCell ref="A73:B73"/>
    <mergeCell ref="A77:B77"/>
    <mergeCell ref="A81:B81"/>
    <mergeCell ref="A26:B26"/>
    <mergeCell ref="A2:C2"/>
    <mergeCell ref="A213:C213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</mergeCells>
  <phoneticPr fontId="8" type="noConversion"/>
  <pageMargins left="0.51181102362204722" right="0.51181102362204722" top="0.19685039370078741" bottom="0.19685039370078741" header="0.31496062992125984" footer="0.31496062992125984"/>
  <pageSetup paperSize="9" scale="54" fitToHeight="3" orientation="landscape" horizontalDpi="4294967293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O182"/>
  <sheetViews>
    <sheetView zoomScale="90" zoomScaleNormal="90" workbookViewId="0">
      <pane xSplit="6" ySplit="5" topLeftCell="G164" activePane="bottomRight" state="frozen"/>
      <selection pane="topRight" activeCell="G1" sqref="G1"/>
      <selection pane="bottomLeft" activeCell="A6" sqref="A6"/>
      <selection pane="bottomRight" activeCell="C118" sqref="C118"/>
    </sheetView>
  </sheetViews>
  <sheetFormatPr defaultColWidth="9" defaultRowHeight="12" outlineLevelRow="1"/>
  <cols>
    <col min="1" max="1" width="17" style="2904" customWidth="1"/>
    <col min="2" max="2" width="10" style="2852" customWidth="1"/>
    <col min="3" max="3" width="50.59765625" style="2852" customWidth="1"/>
    <col min="4" max="4" width="14" style="2891" hidden="1" customWidth="1"/>
    <col min="5" max="8" width="12" style="2891" hidden="1" customWidth="1"/>
    <col min="9" max="10" width="12" style="2891" customWidth="1"/>
    <col min="11" max="11" width="11" style="2891" customWidth="1"/>
    <col min="12" max="12" width="12.265625" style="2892" customWidth="1"/>
    <col min="13" max="13" width="14.265625" style="2893" customWidth="1"/>
    <col min="14" max="14" width="13.86328125" style="2894" customWidth="1"/>
    <col min="15" max="16384" width="9" style="2852"/>
  </cols>
  <sheetData>
    <row r="1" spans="1:15" s="2841" customFormat="1" ht="24" customHeight="1">
      <c r="A1" s="2895" t="s">
        <v>2350</v>
      </c>
      <c r="B1" s="108"/>
      <c r="C1" s="2720"/>
      <c r="D1" s="2974"/>
      <c r="E1" s="2974"/>
      <c r="F1" s="2974"/>
      <c r="G1" s="2974"/>
      <c r="H1" s="2974"/>
      <c r="I1" s="2974"/>
      <c r="J1" s="2974"/>
      <c r="K1" s="2975"/>
      <c r="L1" s="2838"/>
      <c r="M1" s="2839"/>
      <c r="N1" s="2840"/>
    </row>
    <row r="2" spans="1:15" s="2846" customFormat="1" ht="20.25" customHeight="1">
      <c r="A2" s="3280" t="s">
        <v>546</v>
      </c>
      <c r="B2" s="3280"/>
      <c r="C2" s="3281"/>
      <c r="D2" s="2976"/>
      <c r="E2" s="2976"/>
      <c r="F2" s="2976"/>
      <c r="G2" s="2976"/>
      <c r="H2" s="2976"/>
      <c r="I2" s="2976"/>
      <c r="J2" s="2976"/>
      <c r="K2" s="2977"/>
      <c r="L2" s="2843"/>
      <c r="M2" s="2844"/>
      <c r="N2" s="2845"/>
    </row>
    <row r="3" spans="1:15" ht="12.4" thickBot="1">
      <c r="A3" s="2896"/>
      <c r="B3" s="2847"/>
      <c r="C3" s="2847"/>
      <c r="D3" s="2887"/>
      <c r="E3" s="2887"/>
      <c r="F3" s="2887"/>
      <c r="G3" s="2887"/>
      <c r="H3" s="2887"/>
      <c r="I3" s="2887"/>
      <c r="J3" s="2887"/>
      <c r="K3" s="2887"/>
      <c r="L3" s="2849"/>
      <c r="M3" s="2850"/>
      <c r="N3" s="2851"/>
    </row>
    <row r="4" spans="1:15" ht="24.4" thickBot="1">
      <c r="A4" s="2808" t="s">
        <v>1</v>
      </c>
      <c r="B4" s="2809" t="s">
        <v>63</v>
      </c>
      <c r="C4" s="2978" t="s">
        <v>6</v>
      </c>
      <c r="D4" s="2811" t="s">
        <v>2352</v>
      </c>
      <c r="E4" s="2811" t="s">
        <v>1934</v>
      </c>
      <c r="F4" s="2811" t="s">
        <v>2644</v>
      </c>
      <c r="G4" s="2811" t="s">
        <v>2766</v>
      </c>
      <c r="H4" s="2811" t="s">
        <v>2107</v>
      </c>
      <c r="I4" s="2811" t="s">
        <v>2830</v>
      </c>
      <c r="J4" s="2811" t="s">
        <v>2855</v>
      </c>
      <c r="K4" s="2811" t="s">
        <v>2923</v>
      </c>
      <c r="L4" s="2812" t="s">
        <v>5</v>
      </c>
      <c r="M4" s="2807" t="s">
        <v>762</v>
      </c>
      <c r="N4" s="2851" t="s">
        <v>707</v>
      </c>
    </row>
    <row r="5" spans="1:15" ht="15.75" customHeight="1" outlineLevel="1">
      <c r="A5" s="2897">
        <v>6171</v>
      </c>
      <c r="B5" s="2814">
        <v>5171</v>
      </c>
      <c r="C5" s="2979" t="s">
        <v>1769</v>
      </c>
      <c r="D5" s="2985">
        <v>150000</v>
      </c>
      <c r="E5" s="2985">
        <v>150000</v>
      </c>
      <c r="F5" s="2985">
        <v>150000</v>
      </c>
      <c r="G5" s="2985">
        <v>150000</v>
      </c>
      <c r="H5" s="2985">
        <v>150000</v>
      </c>
      <c r="I5" s="2985">
        <v>150000</v>
      </c>
      <c r="J5" s="2985">
        <v>150000</v>
      </c>
      <c r="K5" s="2816">
        <f>+[3]Správa!$B$12</f>
        <v>150000</v>
      </c>
      <c r="L5" s="2817">
        <f>+K5-J5</f>
        <v>0</v>
      </c>
      <c r="M5" s="2850"/>
      <c r="N5" s="2851"/>
    </row>
    <row r="6" spans="1:15" ht="15.75" customHeight="1" outlineLevel="1">
      <c r="A6" s="2898">
        <v>6171</v>
      </c>
      <c r="B6" s="2819">
        <v>5171</v>
      </c>
      <c r="C6" s="2980" t="s">
        <v>2666</v>
      </c>
      <c r="D6" s="2986">
        <v>200000</v>
      </c>
      <c r="E6" s="2986">
        <v>200000</v>
      </c>
      <c r="F6" s="2986">
        <v>200000</v>
      </c>
      <c r="G6" s="2986">
        <v>200000</v>
      </c>
      <c r="H6" s="2986">
        <v>200000</v>
      </c>
      <c r="I6" s="2986">
        <v>200000</v>
      </c>
      <c r="J6" s="2986">
        <v>200000</v>
      </c>
      <c r="K6" s="2821">
        <f>+[3]Správa!$B$13</f>
        <v>100000</v>
      </c>
      <c r="L6" s="2822">
        <f t="shared" ref="L6:L69" si="0">+K6-J6</f>
        <v>-100000</v>
      </c>
      <c r="M6" s="2850"/>
      <c r="N6" s="2851"/>
    </row>
    <row r="7" spans="1:15" ht="15.75" customHeight="1" outlineLevel="1">
      <c r="A7" s="2898">
        <v>6171</v>
      </c>
      <c r="B7" s="2819">
        <v>5171</v>
      </c>
      <c r="C7" s="2980" t="s">
        <v>1796</v>
      </c>
      <c r="D7" s="2986">
        <v>420000</v>
      </c>
      <c r="E7" s="2986">
        <v>420000</v>
      </c>
      <c r="F7" s="2986">
        <v>420000</v>
      </c>
      <c r="G7" s="2986">
        <v>420000</v>
      </c>
      <c r="H7" s="2986">
        <v>420000</v>
      </c>
      <c r="I7" s="2986">
        <v>420000</v>
      </c>
      <c r="J7" s="2986">
        <v>420000</v>
      </c>
      <c r="K7" s="2821">
        <f>+[2]Správa!$B$69</f>
        <v>135000</v>
      </c>
      <c r="L7" s="2822">
        <f t="shared" si="0"/>
        <v>-285000</v>
      </c>
      <c r="M7" s="2850"/>
      <c r="N7" s="2851"/>
    </row>
    <row r="8" spans="1:15" ht="15.75" customHeight="1" outlineLevel="1">
      <c r="A8" s="2898">
        <v>6171</v>
      </c>
      <c r="B8" s="2819">
        <v>5171</v>
      </c>
      <c r="C8" s="2980" t="s">
        <v>1797</v>
      </c>
      <c r="D8" s="2986">
        <v>30000</v>
      </c>
      <c r="E8" s="2986">
        <v>30000</v>
      </c>
      <c r="F8" s="2986">
        <v>30000</v>
      </c>
      <c r="G8" s="2986">
        <v>30000</v>
      </c>
      <c r="H8" s="2986">
        <v>30000</v>
      </c>
      <c r="I8" s="2986">
        <v>30000</v>
      </c>
      <c r="J8" s="2986">
        <v>30000</v>
      </c>
      <c r="K8" s="2821">
        <f>+[2]Správa!$B$70</f>
        <v>30000</v>
      </c>
      <c r="L8" s="2822">
        <f t="shared" si="0"/>
        <v>0</v>
      </c>
      <c r="M8" s="2850"/>
      <c r="N8" s="2851"/>
    </row>
    <row r="9" spans="1:15" s="2858" customFormat="1" ht="12.4" thickBot="1">
      <c r="A9" s="3298" t="s">
        <v>213</v>
      </c>
      <c r="B9" s="3299"/>
      <c r="C9" s="2981"/>
      <c r="D9" s="2987">
        <v>800000</v>
      </c>
      <c r="E9" s="2987">
        <v>800000</v>
      </c>
      <c r="F9" s="2987">
        <v>800000</v>
      </c>
      <c r="G9" s="2987">
        <v>800000</v>
      </c>
      <c r="H9" s="2987">
        <v>800000</v>
      </c>
      <c r="I9" s="2987">
        <v>800000</v>
      </c>
      <c r="J9" s="2987">
        <v>800000</v>
      </c>
      <c r="K9" s="2854">
        <f t="shared" ref="K9" si="1">SUM(K5:K8)</f>
        <v>415000</v>
      </c>
      <c r="L9" s="2855">
        <f t="shared" si="0"/>
        <v>-385000</v>
      </c>
      <c r="M9" s="2856">
        <f>'Výdaje kapitol celkem'!T35</f>
        <v>415000</v>
      </c>
      <c r="N9" s="2857">
        <f>+M9-K9</f>
        <v>0</v>
      </c>
      <c r="O9" s="2160"/>
    </row>
    <row r="10" spans="1:15" ht="15.75" customHeight="1" outlineLevel="1" thickBot="1">
      <c r="A10" s="2897">
        <v>4351</v>
      </c>
      <c r="B10" s="2814">
        <v>5171</v>
      </c>
      <c r="C10" s="2979" t="s">
        <v>1798</v>
      </c>
      <c r="D10" s="2985">
        <v>60000</v>
      </c>
      <c r="E10" s="2985">
        <v>60000</v>
      </c>
      <c r="F10" s="2985">
        <v>60000</v>
      </c>
      <c r="G10" s="2985">
        <v>60000</v>
      </c>
      <c r="H10" s="2985">
        <v>60000</v>
      </c>
      <c r="I10" s="2985">
        <v>60000</v>
      </c>
      <c r="J10" s="2985">
        <v>60000</v>
      </c>
      <c r="K10" s="2816">
        <f>+'[2]Pečovatelská služba'!$B$60</f>
        <v>60000</v>
      </c>
      <c r="L10" s="2817">
        <f t="shared" si="0"/>
        <v>0</v>
      </c>
      <c r="M10" s="2850"/>
      <c r="N10" s="2857"/>
      <c r="O10" s="2160"/>
    </row>
    <row r="11" spans="1:15" ht="15.75" customHeight="1" outlineLevel="1">
      <c r="A11" s="2898">
        <v>4351</v>
      </c>
      <c r="B11" s="2819">
        <v>5171</v>
      </c>
      <c r="C11" s="2979" t="s">
        <v>2667</v>
      </c>
      <c r="D11" s="2986">
        <v>15000</v>
      </c>
      <c r="E11" s="2986">
        <v>15000</v>
      </c>
      <c r="F11" s="2986">
        <v>15000</v>
      </c>
      <c r="G11" s="2986">
        <v>15000</v>
      </c>
      <c r="H11" s="2986">
        <v>15000</v>
      </c>
      <c r="I11" s="2986">
        <v>15000</v>
      </c>
      <c r="J11" s="2986">
        <v>15000</v>
      </c>
      <c r="K11" s="2821">
        <f>+'[2]Pečovatelská služba'!$B$61</f>
        <v>137000</v>
      </c>
      <c r="L11" s="2822">
        <f t="shared" si="0"/>
        <v>122000</v>
      </c>
      <c r="M11" s="2850"/>
      <c r="N11" s="2857"/>
      <c r="O11" s="2160"/>
    </row>
    <row r="12" spans="1:15" ht="15.75" hidden="1" customHeight="1" outlineLevel="1">
      <c r="A12" s="2898">
        <v>4351</v>
      </c>
      <c r="B12" s="2819">
        <v>5171</v>
      </c>
      <c r="C12" s="2980"/>
      <c r="D12" s="2986"/>
      <c r="E12" s="2986"/>
      <c r="F12" s="2986"/>
      <c r="G12" s="2986"/>
      <c r="H12" s="2986"/>
      <c r="I12" s="2986"/>
      <c r="J12" s="2986"/>
      <c r="K12" s="2827"/>
      <c r="L12" s="2828">
        <f t="shared" si="0"/>
        <v>0</v>
      </c>
      <c r="M12" s="2850"/>
      <c r="N12" s="2857"/>
      <c r="O12" s="2160"/>
    </row>
    <row r="13" spans="1:15" s="2858" customFormat="1" ht="12.4" thickBot="1">
      <c r="A13" s="3298" t="s">
        <v>214</v>
      </c>
      <c r="B13" s="3299"/>
      <c r="C13" s="2981"/>
      <c r="D13" s="2987">
        <v>75000</v>
      </c>
      <c r="E13" s="2987">
        <v>75000</v>
      </c>
      <c r="F13" s="2987">
        <v>75000</v>
      </c>
      <c r="G13" s="2987">
        <v>75000</v>
      </c>
      <c r="H13" s="2987">
        <v>75000</v>
      </c>
      <c r="I13" s="2987">
        <v>75000</v>
      </c>
      <c r="J13" s="2987">
        <v>75000</v>
      </c>
      <c r="K13" s="2854">
        <f t="shared" ref="K13" si="2">SUM(K10:K12)</f>
        <v>197000</v>
      </c>
      <c r="L13" s="2855">
        <f t="shared" si="0"/>
        <v>122000</v>
      </c>
      <c r="M13" s="2856">
        <f>'Výdaje kapitol celkem'!Y35</f>
        <v>197000</v>
      </c>
      <c r="N13" s="2857">
        <f>+M13-K13</f>
        <v>0</v>
      </c>
      <c r="O13" s="2160"/>
    </row>
    <row r="14" spans="1:15" ht="15.75" customHeight="1" outlineLevel="1">
      <c r="A14" s="2897" t="s">
        <v>197</v>
      </c>
      <c r="B14" s="2814">
        <v>5171</v>
      </c>
      <c r="C14" s="2979" t="s">
        <v>2379</v>
      </c>
      <c r="D14" s="2985">
        <v>120000</v>
      </c>
      <c r="E14" s="2985">
        <v>120000</v>
      </c>
      <c r="F14" s="2985">
        <v>120000</v>
      </c>
      <c r="G14" s="2985">
        <v>120000</v>
      </c>
      <c r="H14" s="2985">
        <v>120000</v>
      </c>
      <c r="I14" s="2985">
        <v>120000</v>
      </c>
      <c r="J14" s="2985">
        <v>120000</v>
      </c>
      <c r="K14" s="2816">
        <f>+'[2]Městská policie'!$B$86</f>
        <v>220000</v>
      </c>
      <c r="L14" s="2817">
        <f t="shared" si="0"/>
        <v>100000</v>
      </c>
      <c r="M14" s="2850"/>
      <c r="N14" s="2857"/>
      <c r="O14" s="2160"/>
    </row>
    <row r="15" spans="1:15" ht="15.75" customHeight="1" outlineLevel="1">
      <c r="A15" s="2898" t="s">
        <v>197</v>
      </c>
      <c r="B15" s="2819">
        <v>5171</v>
      </c>
      <c r="C15" s="2980" t="s">
        <v>2380</v>
      </c>
      <c r="D15" s="2986">
        <v>23000</v>
      </c>
      <c r="E15" s="2986">
        <v>23000</v>
      </c>
      <c r="F15" s="2986">
        <v>23000</v>
      </c>
      <c r="G15" s="2986">
        <v>23000</v>
      </c>
      <c r="H15" s="2986">
        <v>23000</v>
      </c>
      <c r="I15" s="2986">
        <v>23000</v>
      </c>
      <c r="J15" s="2986">
        <v>23000</v>
      </c>
      <c r="K15" s="2821">
        <f>+'[2]Městská policie'!$B$87</f>
        <v>70000</v>
      </c>
      <c r="L15" s="2828">
        <f t="shared" si="0"/>
        <v>47000</v>
      </c>
      <c r="M15" s="2850"/>
      <c r="N15" s="2857"/>
      <c r="O15" s="2160"/>
    </row>
    <row r="16" spans="1:15" s="2858" customFormat="1" ht="12.4" thickBot="1">
      <c r="A16" s="3298" t="s">
        <v>1169</v>
      </c>
      <c r="B16" s="3299"/>
      <c r="C16" s="2981"/>
      <c r="D16" s="2987">
        <v>143000</v>
      </c>
      <c r="E16" s="2987">
        <v>143000</v>
      </c>
      <c r="F16" s="2987">
        <v>143000</v>
      </c>
      <c r="G16" s="2987">
        <v>143000</v>
      </c>
      <c r="H16" s="2987">
        <v>143000</v>
      </c>
      <c r="I16" s="2987">
        <v>143000</v>
      </c>
      <c r="J16" s="2987">
        <v>143000</v>
      </c>
      <c r="K16" s="2854">
        <f t="shared" ref="K16" si="3">SUM(K14:K15)</f>
        <v>290000</v>
      </c>
      <c r="L16" s="2855">
        <f t="shared" si="0"/>
        <v>147000</v>
      </c>
      <c r="M16" s="2856">
        <f>'Výdaje kapitol celkem'!AB35</f>
        <v>290000</v>
      </c>
      <c r="N16" s="2857">
        <f>+M16-K16</f>
        <v>0</v>
      </c>
      <c r="O16" s="2160"/>
    </row>
    <row r="17" spans="1:15" ht="15.75" hidden="1" customHeight="1" outlineLevel="1">
      <c r="A17" s="2897">
        <v>3314</v>
      </c>
      <c r="B17" s="2814">
        <v>5171</v>
      </c>
      <c r="C17" s="2979"/>
      <c r="D17" s="2985">
        <v>0</v>
      </c>
      <c r="E17" s="2985">
        <v>0</v>
      </c>
      <c r="F17" s="2985">
        <v>0</v>
      </c>
      <c r="G17" s="2985">
        <v>0</v>
      </c>
      <c r="H17" s="2985">
        <v>0</v>
      </c>
      <c r="I17" s="2985">
        <v>0</v>
      </c>
      <c r="J17" s="2985">
        <v>0</v>
      </c>
      <c r="K17" s="2816">
        <f>+[3]Knihovna!$B$27</f>
        <v>0</v>
      </c>
      <c r="L17" s="2817">
        <f t="shared" si="0"/>
        <v>0</v>
      </c>
      <c r="M17" s="2850"/>
      <c r="N17" s="2857"/>
      <c r="O17" s="2160"/>
    </row>
    <row r="18" spans="1:15" ht="15.75" customHeight="1" outlineLevel="1">
      <c r="A18" s="2898">
        <v>3314</v>
      </c>
      <c r="B18" s="2819">
        <v>5171</v>
      </c>
      <c r="C18" s="2980" t="s">
        <v>2222</v>
      </c>
      <c r="D18" s="2986">
        <v>0</v>
      </c>
      <c r="E18" s="2986">
        <v>0</v>
      </c>
      <c r="F18" s="2986">
        <v>0</v>
      </c>
      <c r="G18" s="2986">
        <v>0</v>
      </c>
      <c r="H18" s="2986">
        <v>0</v>
      </c>
      <c r="I18" s="2986">
        <v>0</v>
      </c>
      <c r="J18" s="2986">
        <v>0</v>
      </c>
      <c r="K18" s="2821">
        <f>+[3]Knihovna!$B$28</f>
        <v>0</v>
      </c>
      <c r="L18" s="2828">
        <f t="shared" si="0"/>
        <v>0</v>
      </c>
      <c r="M18" s="2850"/>
      <c r="N18" s="2857"/>
      <c r="O18" s="2160"/>
    </row>
    <row r="19" spans="1:15" ht="15.75" customHeight="1" outlineLevel="1">
      <c r="A19" s="2898">
        <v>3314</v>
      </c>
      <c r="B19" s="2819">
        <v>5171</v>
      </c>
      <c r="C19" s="2982" t="s">
        <v>2668</v>
      </c>
      <c r="D19" s="2988">
        <v>15000</v>
      </c>
      <c r="E19" s="2988">
        <v>15000</v>
      </c>
      <c r="F19" s="2988">
        <v>15000</v>
      </c>
      <c r="G19" s="2988">
        <v>15000</v>
      </c>
      <c r="H19" s="2988">
        <v>15000</v>
      </c>
      <c r="I19" s="2988">
        <v>15000</v>
      </c>
      <c r="J19" s="2988">
        <v>15000</v>
      </c>
      <c r="K19" s="2829">
        <f>+[2]Knihovna!$B$70</f>
        <v>0</v>
      </c>
      <c r="L19" s="2863">
        <f t="shared" si="0"/>
        <v>-15000</v>
      </c>
      <c r="M19" s="2850"/>
      <c r="N19" s="2857"/>
      <c r="O19" s="2160"/>
    </row>
    <row r="20" spans="1:15" ht="15.75" customHeight="1" outlineLevel="1">
      <c r="A20" s="2898">
        <v>3314</v>
      </c>
      <c r="B20" s="2819">
        <v>5171</v>
      </c>
      <c r="C20" s="2980"/>
      <c r="D20" s="2986"/>
      <c r="E20" s="2986"/>
      <c r="F20" s="2986"/>
      <c r="G20" s="2986"/>
      <c r="H20" s="2986"/>
      <c r="I20" s="2986"/>
      <c r="J20" s="2986"/>
      <c r="K20" s="2821"/>
      <c r="L20" s="2828">
        <f t="shared" si="0"/>
        <v>0</v>
      </c>
      <c r="M20" s="2850"/>
      <c r="N20" s="2857"/>
      <c r="O20" s="2160"/>
    </row>
    <row r="21" spans="1:15" ht="15.75" hidden="1" customHeight="1" outlineLevel="1">
      <c r="A21" s="3009"/>
      <c r="B21" s="2866"/>
      <c r="C21" s="2983"/>
      <c r="D21" s="2989"/>
      <c r="E21" s="2989"/>
      <c r="F21" s="2989"/>
      <c r="G21" s="2989"/>
      <c r="H21" s="2989"/>
      <c r="I21" s="2989"/>
      <c r="J21" s="2989"/>
      <c r="K21" s="2831"/>
      <c r="L21" s="2867">
        <f t="shared" si="0"/>
        <v>0</v>
      </c>
      <c r="M21" s="2850"/>
      <c r="N21" s="2857"/>
      <c r="O21" s="2160"/>
    </row>
    <row r="22" spans="1:15" s="2858" customFormat="1" ht="12.4" thickBot="1">
      <c r="A22" s="3298" t="s">
        <v>1170</v>
      </c>
      <c r="B22" s="3299"/>
      <c r="C22" s="2981"/>
      <c r="D22" s="2987">
        <v>15000</v>
      </c>
      <c r="E22" s="2987">
        <v>15000</v>
      </c>
      <c r="F22" s="2987">
        <v>15000</v>
      </c>
      <c r="G22" s="2987">
        <v>15000</v>
      </c>
      <c r="H22" s="2987">
        <v>15000</v>
      </c>
      <c r="I22" s="2987">
        <v>15000</v>
      </c>
      <c r="J22" s="2987">
        <v>15000</v>
      </c>
      <c r="K22" s="2854">
        <f>SUM(K17:K21)</f>
        <v>0</v>
      </c>
      <c r="L22" s="2855">
        <f t="shared" si="0"/>
        <v>-15000</v>
      </c>
      <c r="M22" s="2856">
        <f>'Výdaje kapitol celkem'!AF35</f>
        <v>0</v>
      </c>
      <c r="N22" s="2857">
        <f>+M22-K22</f>
        <v>0</v>
      </c>
      <c r="O22" s="2160"/>
    </row>
    <row r="23" spans="1:15" ht="24" customHeight="1" outlineLevel="1">
      <c r="A23" s="2897">
        <v>3612</v>
      </c>
      <c r="B23" s="2814">
        <v>5171</v>
      </c>
      <c r="C23" s="2979" t="s">
        <v>1762</v>
      </c>
      <c r="D23" s="2985">
        <v>590000</v>
      </c>
      <c r="E23" s="2985">
        <v>590000</v>
      </c>
      <c r="F23" s="2985">
        <v>590000</v>
      </c>
      <c r="G23" s="2985">
        <v>590000</v>
      </c>
      <c r="H23" s="2985">
        <v>590000</v>
      </c>
      <c r="I23" s="2985">
        <v>590000</v>
      </c>
      <c r="J23" s="2985">
        <v>590000</v>
      </c>
      <c r="K23" s="2816">
        <f>+[3]Byty!$B$33</f>
        <v>290000</v>
      </c>
      <c r="L23" s="2817">
        <f t="shared" si="0"/>
        <v>-300000</v>
      </c>
      <c r="M23" s="2850"/>
      <c r="N23" s="2857"/>
      <c r="O23" s="2160"/>
    </row>
    <row r="24" spans="1:15" ht="15.75" customHeight="1" outlineLevel="1">
      <c r="A24" s="2898">
        <v>3612</v>
      </c>
      <c r="B24" s="2819">
        <v>5171</v>
      </c>
      <c r="C24" s="2980" t="s">
        <v>1763</v>
      </c>
      <c r="D24" s="2986">
        <v>100000</v>
      </c>
      <c r="E24" s="2986">
        <v>100000</v>
      </c>
      <c r="F24" s="2986">
        <v>100000</v>
      </c>
      <c r="G24" s="2986">
        <v>100000</v>
      </c>
      <c r="H24" s="2986">
        <v>100000</v>
      </c>
      <c r="I24" s="2986">
        <v>100000</v>
      </c>
      <c r="J24" s="2986">
        <v>100000</v>
      </c>
      <c r="K24" s="2821">
        <f>+[3]Byty!$B$34</f>
        <v>100000</v>
      </c>
      <c r="L24" s="2822">
        <f t="shared" si="0"/>
        <v>0</v>
      </c>
      <c r="M24" s="2850"/>
      <c r="N24" s="2857"/>
      <c r="O24" s="2160"/>
    </row>
    <row r="25" spans="1:15" ht="23.25" customHeight="1" outlineLevel="1">
      <c r="A25" s="2899">
        <v>3612</v>
      </c>
      <c r="B25" s="2866">
        <v>5171</v>
      </c>
      <c r="C25" s="2982" t="s">
        <v>1764</v>
      </c>
      <c r="D25" s="2988">
        <v>50000</v>
      </c>
      <c r="E25" s="2988">
        <v>50000</v>
      </c>
      <c r="F25" s="2988">
        <v>50000</v>
      </c>
      <c r="G25" s="2988">
        <v>50000</v>
      </c>
      <c r="H25" s="2988">
        <v>50000</v>
      </c>
      <c r="I25" s="2988">
        <v>50000</v>
      </c>
      <c r="J25" s="2988">
        <v>50000</v>
      </c>
      <c r="K25" s="2829">
        <f>+[3]Byty!$B$35</f>
        <v>50000</v>
      </c>
      <c r="L25" s="2870">
        <f t="shared" si="0"/>
        <v>0</v>
      </c>
      <c r="M25" s="2850"/>
      <c r="N25" s="2857"/>
      <c r="O25" s="2160"/>
    </row>
    <row r="26" spans="1:15" ht="18" customHeight="1" outlineLevel="1">
      <c r="A26" s="2899">
        <v>3612</v>
      </c>
      <c r="B26" s="2866">
        <v>5171</v>
      </c>
      <c r="C26" s="2982" t="s">
        <v>1765</v>
      </c>
      <c r="D26" s="2988">
        <v>900000</v>
      </c>
      <c r="E26" s="2988">
        <v>900000</v>
      </c>
      <c r="F26" s="2988">
        <v>900000</v>
      </c>
      <c r="G26" s="2988">
        <v>900000</v>
      </c>
      <c r="H26" s="2988">
        <v>900000</v>
      </c>
      <c r="I26" s="2988">
        <v>900000</v>
      </c>
      <c r="J26" s="2988">
        <v>900000</v>
      </c>
      <c r="K26" s="2829">
        <f>+[3]Byty!$B$36</f>
        <v>100000</v>
      </c>
      <c r="L26" s="2870">
        <f t="shared" si="0"/>
        <v>-800000</v>
      </c>
      <c r="M26" s="2850"/>
      <c r="N26" s="2857"/>
      <c r="O26" s="2160"/>
    </row>
    <row r="27" spans="1:15" ht="22.5" customHeight="1" outlineLevel="1">
      <c r="A27" s="2899">
        <v>3612</v>
      </c>
      <c r="B27" s="2866">
        <v>5171</v>
      </c>
      <c r="C27" s="2982" t="s">
        <v>1766</v>
      </c>
      <c r="D27" s="2988">
        <v>900000</v>
      </c>
      <c r="E27" s="2988">
        <v>900000</v>
      </c>
      <c r="F27" s="2988">
        <v>900000</v>
      </c>
      <c r="G27" s="2988">
        <v>900000</v>
      </c>
      <c r="H27" s="2988">
        <v>900000</v>
      </c>
      <c r="I27" s="2988">
        <v>900000</v>
      </c>
      <c r="J27" s="2988">
        <v>900000</v>
      </c>
      <c r="K27" s="2829">
        <f>+[3]Byty!$B$37</f>
        <v>200000</v>
      </c>
      <c r="L27" s="2870">
        <f t="shared" si="0"/>
        <v>-700000</v>
      </c>
      <c r="M27" s="2850"/>
      <c r="N27" s="2857"/>
      <c r="O27" s="2160"/>
    </row>
    <row r="28" spans="1:15" ht="22.5" customHeight="1" outlineLevel="1">
      <c r="A28" s="3010">
        <v>3612</v>
      </c>
      <c r="B28" s="2866">
        <v>5171</v>
      </c>
      <c r="C28" s="2984" t="s">
        <v>1767</v>
      </c>
      <c r="D28" s="2990">
        <v>500000</v>
      </c>
      <c r="E28" s="2990">
        <v>2300000</v>
      </c>
      <c r="F28" s="2990">
        <v>2300000</v>
      </c>
      <c r="G28" s="2990">
        <v>2300000</v>
      </c>
      <c r="H28" s="2990">
        <v>2300000</v>
      </c>
      <c r="I28" s="2990">
        <v>2300000</v>
      </c>
      <c r="J28" s="2990">
        <v>2300000</v>
      </c>
      <c r="K28" s="3051">
        <f>+[3]Byty!$B$38</f>
        <v>300000</v>
      </c>
      <c r="L28" s="2880">
        <f t="shared" si="0"/>
        <v>-2000000</v>
      </c>
      <c r="M28" s="2850"/>
      <c r="N28" s="2857"/>
      <c r="O28" s="2160"/>
    </row>
    <row r="29" spans="1:15" ht="22.5" customHeight="1" outlineLevel="1">
      <c r="A29" s="3010">
        <v>3612</v>
      </c>
      <c r="B29" s="3001">
        <v>5171</v>
      </c>
      <c r="C29" s="2984" t="s">
        <v>2639</v>
      </c>
      <c r="D29" s="2990"/>
      <c r="E29" s="2990">
        <v>500000</v>
      </c>
      <c r="F29" s="2990">
        <v>500000</v>
      </c>
      <c r="G29" s="2990">
        <v>500000</v>
      </c>
      <c r="H29" s="2990">
        <v>500000</v>
      </c>
      <c r="I29" s="2990">
        <v>500000</v>
      </c>
      <c r="J29" s="2990">
        <v>500000</v>
      </c>
      <c r="K29" s="2873">
        <f>+[3]Byty!$B$39</f>
        <v>200000</v>
      </c>
      <c r="L29" s="2880">
        <f t="shared" si="0"/>
        <v>-300000</v>
      </c>
      <c r="M29" s="2850"/>
      <c r="N29" s="2857"/>
      <c r="O29" s="2160"/>
    </row>
    <row r="30" spans="1:15" s="2858" customFormat="1" ht="12.4" thickBot="1">
      <c r="A30" s="3298" t="s">
        <v>200</v>
      </c>
      <c r="B30" s="3299"/>
      <c r="C30" s="2981"/>
      <c r="D30" s="2987">
        <v>3040000</v>
      </c>
      <c r="E30" s="2987">
        <v>5340000</v>
      </c>
      <c r="F30" s="2987">
        <v>5340000</v>
      </c>
      <c r="G30" s="2987">
        <v>5340000</v>
      </c>
      <c r="H30" s="2987">
        <v>5340000</v>
      </c>
      <c r="I30" s="2987">
        <v>5340000</v>
      </c>
      <c r="J30" s="2987">
        <v>5340000</v>
      </c>
      <c r="K30" s="2854">
        <f>SUM(K23:K29)</f>
        <v>1240000</v>
      </c>
      <c r="L30" s="2855">
        <f t="shared" si="0"/>
        <v>-4100000</v>
      </c>
      <c r="M30" s="2856">
        <f>'Výdaje kapitol celkem'!AI35</f>
        <v>1240000</v>
      </c>
      <c r="N30" s="2857">
        <f>+M30-K30</f>
        <v>0</v>
      </c>
      <c r="O30" s="2160"/>
    </row>
    <row r="31" spans="1:15" ht="16.5" customHeight="1" outlineLevel="1">
      <c r="A31" s="2899" t="s">
        <v>199</v>
      </c>
      <c r="B31" s="2866">
        <v>5171</v>
      </c>
      <c r="C31" s="2982" t="s">
        <v>1751</v>
      </c>
      <c r="D31" s="2988">
        <v>1100000</v>
      </c>
      <c r="E31" s="2988">
        <v>1100000</v>
      </c>
      <c r="F31" s="2988">
        <v>1100000</v>
      </c>
      <c r="G31" s="2988">
        <v>1100000</v>
      </c>
      <c r="H31" s="2988">
        <v>1100000</v>
      </c>
      <c r="I31" s="2988">
        <v>1100000</v>
      </c>
      <c r="J31" s="2988">
        <v>1100000</v>
      </c>
      <c r="K31" s="2829">
        <f>+[3]DPS!$B$34</f>
        <v>500000</v>
      </c>
      <c r="L31" s="2870">
        <f t="shared" si="0"/>
        <v>-600000</v>
      </c>
      <c r="M31" s="2850"/>
      <c r="N31" s="2857"/>
      <c r="O31" s="2160"/>
    </row>
    <row r="32" spans="1:15" ht="16.5" customHeight="1" outlineLevel="1">
      <c r="A32" s="2899" t="s">
        <v>199</v>
      </c>
      <c r="B32" s="2866">
        <v>5171</v>
      </c>
      <c r="C32" s="2982" t="s">
        <v>2189</v>
      </c>
      <c r="D32" s="2988">
        <v>250000</v>
      </c>
      <c r="E32" s="2988">
        <v>250000</v>
      </c>
      <c r="F32" s="2988">
        <v>250000</v>
      </c>
      <c r="G32" s="2988">
        <v>250000</v>
      </c>
      <c r="H32" s="2988">
        <v>250000</v>
      </c>
      <c r="I32" s="2988">
        <v>250000</v>
      </c>
      <c r="J32" s="2988">
        <v>250000</v>
      </c>
      <c r="K32" s="2829">
        <f>+[3]DPS!$B$35</f>
        <v>130000</v>
      </c>
      <c r="L32" s="2870">
        <f t="shared" si="0"/>
        <v>-120000</v>
      </c>
      <c r="M32" s="2850"/>
      <c r="N32" s="2857"/>
      <c r="O32" s="2160"/>
    </row>
    <row r="33" spans="1:15" ht="16.5" customHeight="1" outlineLevel="1">
      <c r="A33" s="2899" t="s">
        <v>199</v>
      </c>
      <c r="B33" s="2866">
        <v>5171</v>
      </c>
      <c r="C33" s="2982" t="s">
        <v>2190</v>
      </c>
      <c r="D33" s="2988">
        <v>260000</v>
      </c>
      <c r="E33" s="2988">
        <v>260000</v>
      </c>
      <c r="F33" s="2988">
        <v>260000</v>
      </c>
      <c r="G33" s="2988">
        <v>260000</v>
      </c>
      <c r="H33" s="2988">
        <v>260000</v>
      </c>
      <c r="I33" s="2988">
        <v>260000</v>
      </c>
      <c r="J33" s="2988">
        <v>260000</v>
      </c>
      <c r="K33" s="2829">
        <f>+[3]DPS!$B$36</f>
        <v>160000</v>
      </c>
      <c r="L33" s="2870">
        <f t="shared" si="0"/>
        <v>-100000</v>
      </c>
      <c r="M33" s="2850"/>
      <c r="N33" s="2857"/>
      <c r="O33" s="2160"/>
    </row>
    <row r="34" spans="1:15" ht="26.25" hidden="1" customHeight="1" outlineLevel="1">
      <c r="A34" s="2899" t="s">
        <v>199</v>
      </c>
      <c r="B34" s="2866">
        <v>5171</v>
      </c>
      <c r="C34" s="2982" t="s">
        <v>1752</v>
      </c>
      <c r="D34" s="2988"/>
      <c r="E34" s="2988"/>
      <c r="F34" s="2988"/>
      <c r="G34" s="2988"/>
      <c r="H34" s="2988"/>
      <c r="I34" s="2988"/>
      <c r="J34" s="2988"/>
      <c r="K34" s="2829"/>
      <c r="L34" s="2870">
        <f t="shared" si="0"/>
        <v>0</v>
      </c>
      <c r="M34" s="2850"/>
      <c r="N34" s="2857"/>
      <c r="O34" s="2160"/>
    </row>
    <row r="35" spans="1:15" ht="16.5" customHeight="1" outlineLevel="1">
      <c r="A35" s="2899" t="s">
        <v>199</v>
      </c>
      <c r="B35" s="2866">
        <v>5171</v>
      </c>
      <c r="C35" s="2982" t="s">
        <v>1753</v>
      </c>
      <c r="D35" s="2988">
        <v>1800000</v>
      </c>
      <c r="E35" s="2988">
        <v>1800000</v>
      </c>
      <c r="F35" s="2988">
        <v>1800000</v>
      </c>
      <c r="G35" s="2988">
        <v>1800000</v>
      </c>
      <c r="H35" s="2988">
        <v>1800000</v>
      </c>
      <c r="I35" s="2988">
        <v>1800000</v>
      </c>
      <c r="J35" s="2988">
        <v>1800000</v>
      </c>
      <c r="K35" s="3052">
        <f>+[3]DPS!$B$37</f>
        <v>200000</v>
      </c>
      <c r="L35" s="2870">
        <f t="shared" si="0"/>
        <v>-1600000</v>
      </c>
      <c r="M35" s="2850"/>
      <c r="N35" s="2857"/>
      <c r="O35" s="2160"/>
    </row>
    <row r="36" spans="1:15" ht="12.4" thickBot="1">
      <c r="A36" s="3298" t="s">
        <v>201</v>
      </c>
      <c r="B36" s="3299"/>
      <c r="C36" s="2981"/>
      <c r="D36" s="2987">
        <v>3410000</v>
      </c>
      <c r="E36" s="2987">
        <v>3410000</v>
      </c>
      <c r="F36" s="2987">
        <v>3410000</v>
      </c>
      <c r="G36" s="2987">
        <v>3410000</v>
      </c>
      <c r="H36" s="2987">
        <v>3410000</v>
      </c>
      <c r="I36" s="2987">
        <v>3410000</v>
      </c>
      <c r="J36" s="2987">
        <v>3410000</v>
      </c>
      <c r="K36" s="2854">
        <f>SUM(K31:K35)</f>
        <v>990000</v>
      </c>
      <c r="L36" s="2855">
        <f t="shared" si="0"/>
        <v>-2420000</v>
      </c>
      <c r="M36" s="2856">
        <f>'Výdaje kapitol celkem'!AL35</f>
        <v>990000</v>
      </c>
      <c r="N36" s="2857">
        <f>+M36-K36</f>
        <v>0</v>
      </c>
      <c r="O36" s="2160"/>
    </row>
    <row r="37" spans="1:15" ht="16.5" customHeight="1" outlineLevel="1">
      <c r="A37" s="2898" t="s">
        <v>1241</v>
      </c>
      <c r="B37" s="2819">
        <v>5171</v>
      </c>
      <c r="C37" s="2980" t="s">
        <v>1760</v>
      </c>
      <c r="D37" s="2986">
        <v>200000</v>
      </c>
      <c r="E37" s="2986">
        <v>200000</v>
      </c>
      <c r="F37" s="2986">
        <v>200000</v>
      </c>
      <c r="G37" s="2986">
        <v>200000</v>
      </c>
      <c r="H37" s="2986">
        <v>200000</v>
      </c>
      <c r="I37" s="2986">
        <v>200000</v>
      </c>
      <c r="J37" s="2986">
        <v>200000</v>
      </c>
      <c r="K37" s="2821">
        <f>+'[3]Hotel Budka'!$B$26</f>
        <v>200000</v>
      </c>
      <c r="L37" s="2822">
        <f t="shared" si="0"/>
        <v>0</v>
      </c>
      <c r="M37" s="2850"/>
      <c r="N37" s="2857"/>
      <c r="O37" s="2160"/>
    </row>
    <row r="38" spans="1:15" ht="16.5" customHeight="1" outlineLevel="1">
      <c r="A38" s="2899" t="s">
        <v>1241</v>
      </c>
      <c r="B38" s="2866">
        <v>5171</v>
      </c>
      <c r="C38" s="2982"/>
      <c r="D38" s="2988">
        <v>0</v>
      </c>
      <c r="E38" s="2988">
        <v>0</v>
      </c>
      <c r="F38" s="2988">
        <v>0</v>
      </c>
      <c r="G38" s="2988">
        <v>0</v>
      </c>
      <c r="H38" s="2988">
        <v>0</v>
      </c>
      <c r="I38" s="2988">
        <v>0</v>
      </c>
      <c r="J38" s="2988">
        <v>0</v>
      </c>
      <c r="K38" s="2829">
        <f>+'[3]Hotel Budka'!$B$27</f>
        <v>0</v>
      </c>
      <c r="L38" s="2870">
        <f t="shared" si="0"/>
        <v>0</v>
      </c>
      <c r="M38" s="2850"/>
      <c r="N38" s="2857"/>
      <c r="O38" s="2160"/>
    </row>
    <row r="39" spans="1:15" ht="16.5" hidden="1" customHeight="1" outlineLevel="1">
      <c r="A39" s="2899" t="s">
        <v>1241</v>
      </c>
      <c r="B39" s="2866">
        <v>5171</v>
      </c>
      <c r="C39" s="2984"/>
      <c r="D39" s="2990">
        <v>0</v>
      </c>
      <c r="E39" s="2990">
        <v>0</v>
      </c>
      <c r="F39" s="2990">
        <v>0</v>
      </c>
      <c r="G39" s="2990">
        <v>0</v>
      </c>
      <c r="H39" s="2990">
        <v>0</v>
      </c>
      <c r="I39" s="2990">
        <v>0</v>
      </c>
      <c r="J39" s="2990">
        <v>0</v>
      </c>
      <c r="K39" s="2873">
        <f>+'[3]Hotel Budka'!$B$28</f>
        <v>0</v>
      </c>
      <c r="L39" s="2880">
        <f t="shared" si="0"/>
        <v>0</v>
      </c>
      <c r="M39" s="2850"/>
      <c r="N39" s="2857"/>
      <c r="O39" s="2160"/>
    </row>
    <row r="40" spans="1:15" ht="12.4" thickBot="1">
      <c r="A40" s="3298" t="s">
        <v>1429</v>
      </c>
      <c r="B40" s="3299"/>
      <c r="C40" s="2981"/>
      <c r="D40" s="2987">
        <v>200000</v>
      </c>
      <c r="E40" s="2987">
        <v>200000</v>
      </c>
      <c r="F40" s="2987">
        <v>200000</v>
      </c>
      <c r="G40" s="2987">
        <v>200000</v>
      </c>
      <c r="H40" s="2987">
        <v>200000</v>
      </c>
      <c r="I40" s="2987">
        <v>200000</v>
      </c>
      <c r="J40" s="2987">
        <v>200000</v>
      </c>
      <c r="K40" s="2854">
        <f t="shared" ref="K40" si="4">SUM(K37:K39)</f>
        <v>200000</v>
      </c>
      <c r="L40" s="2855">
        <f t="shared" si="0"/>
        <v>0</v>
      </c>
      <c r="M40" s="2856">
        <f>'Výdaje kapitol celkem'!AD35</f>
        <v>200000</v>
      </c>
      <c r="N40" s="2857">
        <f>+M40-K40</f>
        <v>0</v>
      </c>
      <c r="O40" s="2160"/>
    </row>
    <row r="41" spans="1:15" ht="24" outlineLevel="1">
      <c r="A41" s="2898">
        <v>3613</v>
      </c>
      <c r="B41" s="2819">
        <v>5171</v>
      </c>
      <c r="C41" s="2980" t="s">
        <v>1755</v>
      </c>
      <c r="D41" s="2986">
        <v>240000</v>
      </c>
      <c r="E41" s="2986">
        <v>240000</v>
      </c>
      <c r="F41" s="2986">
        <v>240000</v>
      </c>
      <c r="G41" s="2986">
        <v>240000</v>
      </c>
      <c r="H41" s="2986">
        <v>240000</v>
      </c>
      <c r="I41" s="2986">
        <v>240000</v>
      </c>
      <c r="J41" s="2986">
        <v>240000</v>
      </c>
      <c r="K41" s="2821">
        <f>+[3]Nebyty!$B$12</f>
        <v>150000</v>
      </c>
      <c r="L41" s="2822">
        <f t="shared" si="0"/>
        <v>-90000</v>
      </c>
      <c r="M41" s="2850"/>
      <c r="N41" s="2857"/>
      <c r="O41" s="2160"/>
    </row>
    <row r="42" spans="1:15" ht="16.5" customHeight="1" outlineLevel="1">
      <c r="A42" s="2899">
        <v>3613</v>
      </c>
      <c r="B42" s="2866">
        <v>5171</v>
      </c>
      <c r="C42" s="2982" t="s">
        <v>1756</v>
      </c>
      <c r="D42" s="2988">
        <v>50000</v>
      </c>
      <c r="E42" s="2988">
        <v>50000</v>
      </c>
      <c r="F42" s="2988">
        <v>50000</v>
      </c>
      <c r="G42" s="2988">
        <v>50000</v>
      </c>
      <c r="H42" s="2988">
        <v>50000</v>
      </c>
      <c r="I42" s="2988">
        <v>50000</v>
      </c>
      <c r="J42" s="2988">
        <v>50000</v>
      </c>
      <c r="K42" s="2829">
        <f>+[3]Nebyty!$B$13</f>
        <v>50000</v>
      </c>
      <c r="L42" s="2870">
        <f t="shared" si="0"/>
        <v>0</v>
      </c>
      <c r="M42" s="2850"/>
      <c r="N42" s="2857"/>
      <c r="O42" s="2160"/>
    </row>
    <row r="43" spans="1:15" ht="16.5" customHeight="1" outlineLevel="1">
      <c r="A43" s="2899">
        <v>3613</v>
      </c>
      <c r="B43" s="2866">
        <v>5171</v>
      </c>
      <c r="C43" s="2984" t="s">
        <v>2184</v>
      </c>
      <c r="D43" s="2990">
        <v>80000</v>
      </c>
      <c r="E43" s="2990">
        <v>80000</v>
      </c>
      <c r="F43" s="2990">
        <v>80000</v>
      </c>
      <c r="G43" s="2990">
        <v>80000</v>
      </c>
      <c r="H43" s="2990">
        <v>80000</v>
      </c>
      <c r="I43" s="2990">
        <v>80000</v>
      </c>
      <c r="J43" s="2990">
        <v>80000</v>
      </c>
      <c r="K43" s="2873">
        <f>+[3]Nebyty!$B$14</f>
        <v>80000</v>
      </c>
      <c r="L43" s="2880">
        <f t="shared" si="0"/>
        <v>0</v>
      </c>
      <c r="M43" s="2850"/>
      <c r="N43" s="2857"/>
      <c r="O43" s="2160"/>
    </row>
    <row r="44" spans="1:15" ht="16.5" customHeight="1" outlineLevel="1">
      <c r="A44" s="2899">
        <v>3613</v>
      </c>
      <c r="B44" s="2866">
        <v>5171</v>
      </c>
      <c r="C44" s="2984" t="s">
        <v>1757</v>
      </c>
      <c r="D44" s="2990">
        <v>240000</v>
      </c>
      <c r="E44" s="2990">
        <v>240000</v>
      </c>
      <c r="F44" s="2990">
        <v>240000</v>
      </c>
      <c r="G44" s="2990">
        <v>240000</v>
      </c>
      <c r="H44" s="2990">
        <v>240000</v>
      </c>
      <c r="I44" s="2990">
        <v>240000</v>
      </c>
      <c r="J44" s="2990">
        <v>240000</v>
      </c>
      <c r="K44" s="2873">
        <f>+[3]Nebyty!$B$15</f>
        <v>140000</v>
      </c>
      <c r="L44" s="2880">
        <f t="shared" si="0"/>
        <v>-100000</v>
      </c>
      <c r="M44" s="2850"/>
      <c r="N44" s="2857"/>
      <c r="O44" s="2160"/>
    </row>
    <row r="45" spans="1:15" ht="16.5" customHeight="1" outlineLevel="1">
      <c r="A45" s="2899">
        <v>3613</v>
      </c>
      <c r="B45" s="2866">
        <v>5171</v>
      </c>
      <c r="C45" s="2984" t="s">
        <v>1758</v>
      </c>
      <c r="D45" s="2990">
        <v>200000</v>
      </c>
      <c r="E45" s="2990">
        <v>200000</v>
      </c>
      <c r="F45" s="2990">
        <v>200000</v>
      </c>
      <c r="G45" s="2990">
        <v>200000</v>
      </c>
      <c r="H45" s="2990">
        <v>200000</v>
      </c>
      <c r="I45" s="2990">
        <v>200000</v>
      </c>
      <c r="J45" s="2990">
        <v>200000</v>
      </c>
      <c r="K45" s="2873">
        <f>+[3]Nebyty!$B$16</f>
        <v>100000</v>
      </c>
      <c r="L45" s="2880">
        <f t="shared" si="0"/>
        <v>-100000</v>
      </c>
      <c r="M45" s="2850"/>
      <c r="N45" s="2857"/>
      <c r="O45" s="2160"/>
    </row>
    <row r="46" spans="1:15" ht="16.5" customHeight="1" outlineLevel="1">
      <c r="A46" s="2899">
        <v>3613</v>
      </c>
      <c r="B46" s="2866">
        <v>5171</v>
      </c>
      <c r="C46" s="2984" t="s">
        <v>1759</v>
      </c>
      <c r="D46" s="2990">
        <v>500000</v>
      </c>
      <c r="E46" s="2990">
        <v>500000</v>
      </c>
      <c r="F46" s="2990">
        <v>500000</v>
      </c>
      <c r="G46" s="2990">
        <v>500000</v>
      </c>
      <c r="H46" s="2990">
        <v>500000</v>
      </c>
      <c r="I46" s="2990">
        <v>500000</v>
      </c>
      <c r="J46" s="2990">
        <v>500000</v>
      </c>
      <c r="K46" s="2873">
        <f>+[3]Nebyty!$B$17</f>
        <v>0</v>
      </c>
      <c r="L46" s="2880">
        <f t="shared" si="0"/>
        <v>-500000</v>
      </c>
      <c r="M46" s="2850"/>
      <c r="N46" s="2857"/>
      <c r="O46" s="2160"/>
    </row>
    <row r="47" spans="1:15" ht="12.4" thickBot="1">
      <c r="A47" s="3298" t="s">
        <v>202</v>
      </c>
      <c r="B47" s="3299"/>
      <c r="C47" s="2981"/>
      <c r="D47" s="2987">
        <v>1310000</v>
      </c>
      <c r="E47" s="2987">
        <v>1310000</v>
      </c>
      <c r="F47" s="2987">
        <v>1310000</v>
      </c>
      <c r="G47" s="2987">
        <v>1310000</v>
      </c>
      <c r="H47" s="2987">
        <v>1310000</v>
      </c>
      <c r="I47" s="2987">
        <v>1310000</v>
      </c>
      <c r="J47" s="2987">
        <v>1310000</v>
      </c>
      <c r="K47" s="2854">
        <f t="shared" ref="K47" si="5">SUM(K41:K46)</f>
        <v>520000</v>
      </c>
      <c r="L47" s="2855">
        <f t="shared" si="0"/>
        <v>-790000</v>
      </c>
      <c r="M47" s="2856">
        <f>'Výdaje kapitol celkem'!AO35</f>
        <v>520000</v>
      </c>
      <c r="N47" s="2857">
        <f>+M47-K47</f>
        <v>0</v>
      </c>
      <c r="O47" s="2160"/>
    </row>
    <row r="48" spans="1:15" ht="20.25" customHeight="1" outlineLevel="1">
      <c r="A48" s="2898">
        <v>5512</v>
      </c>
      <c r="B48" s="2819">
        <v>5171</v>
      </c>
      <c r="C48" s="2980" t="s">
        <v>1728</v>
      </c>
      <c r="D48" s="2986">
        <v>150000</v>
      </c>
      <c r="E48" s="2986">
        <v>150000</v>
      </c>
      <c r="F48" s="2986">
        <v>150000</v>
      </c>
      <c r="G48" s="2986">
        <v>150000</v>
      </c>
      <c r="H48" s="2986">
        <v>150000</v>
      </c>
      <c r="I48" s="2986">
        <v>150000</v>
      </c>
      <c r="J48" s="2986">
        <v>150000</v>
      </c>
      <c r="K48" s="2821">
        <f>+[3]Hasiči!$B$26</f>
        <v>0</v>
      </c>
      <c r="L48" s="2822">
        <f t="shared" si="0"/>
        <v>-150000</v>
      </c>
      <c r="M48" s="2850"/>
      <c r="N48" s="2857"/>
      <c r="O48" s="2160"/>
    </row>
    <row r="49" spans="1:15" ht="20.25" customHeight="1" outlineLevel="1">
      <c r="A49" s="2899">
        <v>5512</v>
      </c>
      <c r="B49" s="2866">
        <v>5171</v>
      </c>
      <c r="C49" s="2982" t="s">
        <v>2390</v>
      </c>
      <c r="D49" s="2988">
        <v>75000</v>
      </c>
      <c r="E49" s="2988">
        <v>75000</v>
      </c>
      <c r="F49" s="2988">
        <v>75000</v>
      </c>
      <c r="G49" s="2988">
        <v>75000</v>
      </c>
      <c r="H49" s="2988">
        <v>75000</v>
      </c>
      <c r="I49" s="2988">
        <v>75000</v>
      </c>
      <c r="J49" s="2988">
        <v>75000</v>
      </c>
      <c r="K49" s="2829">
        <f>+[2]Hasiči!$B$62</f>
        <v>75000</v>
      </c>
      <c r="L49" s="2822">
        <f t="shared" si="0"/>
        <v>0</v>
      </c>
      <c r="M49" s="2850"/>
      <c r="N49" s="2857"/>
      <c r="O49" s="2160"/>
    </row>
    <row r="50" spans="1:15" ht="20.25" customHeight="1" outlineLevel="1">
      <c r="A50" s="2899">
        <v>5512</v>
      </c>
      <c r="B50" s="2866">
        <v>5171</v>
      </c>
      <c r="C50" s="2982" t="s">
        <v>2391</v>
      </c>
      <c r="D50" s="2988">
        <v>200000</v>
      </c>
      <c r="E50" s="2988">
        <v>200000</v>
      </c>
      <c r="F50" s="2988">
        <v>200000</v>
      </c>
      <c r="G50" s="2988">
        <v>200000</v>
      </c>
      <c r="H50" s="2988">
        <v>200000</v>
      </c>
      <c r="I50" s="2988">
        <v>200000</v>
      </c>
      <c r="J50" s="2988">
        <v>200000</v>
      </c>
      <c r="K50" s="2829">
        <f>+[2]Hasiči!$B$63</f>
        <v>110000</v>
      </c>
      <c r="L50" s="2822">
        <f t="shared" si="0"/>
        <v>-90000</v>
      </c>
      <c r="M50" s="2850"/>
      <c r="N50" s="2857"/>
      <c r="O50" s="2160"/>
    </row>
    <row r="51" spans="1:15" ht="20.25" hidden="1" customHeight="1" outlineLevel="1">
      <c r="A51" s="2899">
        <v>5512</v>
      </c>
      <c r="B51" s="2866">
        <v>5171</v>
      </c>
      <c r="C51" s="2982"/>
      <c r="D51" s="2988"/>
      <c r="E51" s="2988"/>
      <c r="F51" s="2988"/>
      <c r="G51" s="2988"/>
      <c r="H51" s="2988"/>
      <c r="I51" s="2988"/>
      <c r="J51" s="2988"/>
      <c r="K51" s="2829"/>
      <c r="L51" s="2870">
        <f t="shared" si="0"/>
        <v>0</v>
      </c>
      <c r="M51" s="2850"/>
      <c r="N51" s="2857"/>
      <c r="O51" s="2160"/>
    </row>
    <row r="52" spans="1:15" ht="12.4" thickBot="1">
      <c r="A52" s="3298" t="s">
        <v>203</v>
      </c>
      <c r="B52" s="3299"/>
      <c r="C52" s="2981"/>
      <c r="D52" s="2987">
        <v>425000</v>
      </c>
      <c r="E52" s="2987">
        <v>425000</v>
      </c>
      <c r="F52" s="2987">
        <v>425000</v>
      </c>
      <c r="G52" s="2987">
        <v>425000</v>
      </c>
      <c r="H52" s="2987">
        <v>425000</v>
      </c>
      <c r="I52" s="2987">
        <v>425000</v>
      </c>
      <c r="J52" s="2987">
        <v>425000</v>
      </c>
      <c r="K52" s="2854">
        <f>SUM(K48:K51)</f>
        <v>185000</v>
      </c>
      <c r="L52" s="2855">
        <f t="shared" si="0"/>
        <v>-240000</v>
      </c>
      <c r="M52" s="2856">
        <f>'Výdaje kapitol celkem'!AR35</f>
        <v>185000</v>
      </c>
      <c r="N52" s="2857">
        <f>+M52-K52</f>
        <v>0</v>
      </c>
      <c r="O52" s="2160"/>
    </row>
    <row r="53" spans="1:15" ht="20.25" customHeight="1" outlineLevel="1">
      <c r="A53" s="2898">
        <v>3519</v>
      </c>
      <c r="B53" s="2819">
        <v>5171</v>
      </c>
      <c r="C53" s="2980" t="s">
        <v>1747</v>
      </c>
      <c r="D53" s="2986">
        <v>150000</v>
      </c>
      <c r="E53" s="2986">
        <v>150000</v>
      </c>
      <c r="F53" s="2986">
        <v>150000</v>
      </c>
      <c r="G53" s="2986">
        <v>150000</v>
      </c>
      <c r="H53" s="2986">
        <v>150000</v>
      </c>
      <c r="I53" s="2986">
        <v>150000</v>
      </c>
      <c r="J53" s="2986">
        <v>150000</v>
      </c>
      <c r="K53" s="2821">
        <f>+'[3]Zdrav. středisko'!$B$12</f>
        <v>0</v>
      </c>
      <c r="L53" s="2822">
        <f t="shared" si="0"/>
        <v>-150000</v>
      </c>
      <c r="M53" s="2850"/>
      <c r="N53" s="2857"/>
      <c r="O53" s="2160"/>
    </row>
    <row r="54" spans="1:15" ht="18.75" customHeight="1" outlineLevel="1">
      <c r="A54" s="2899">
        <v>3519</v>
      </c>
      <c r="B54" s="2866">
        <v>5171</v>
      </c>
      <c r="C54" s="2982" t="s">
        <v>1748</v>
      </c>
      <c r="D54" s="2988">
        <v>200000</v>
      </c>
      <c r="E54" s="2988">
        <v>200000</v>
      </c>
      <c r="F54" s="2988">
        <v>200000</v>
      </c>
      <c r="G54" s="2988">
        <v>200000</v>
      </c>
      <c r="H54" s="2988">
        <v>200000</v>
      </c>
      <c r="I54" s="2988">
        <v>200000</v>
      </c>
      <c r="J54" s="2988">
        <v>200000</v>
      </c>
      <c r="K54" s="2829">
        <f>+'[3]Zdrav. středisko'!$B$13</f>
        <v>0</v>
      </c>
      <c r="L54" s="2870">
        <f t="shared" si="0"/>
        <v>-200000</v>
      </c>
      <c r="M54" s="2850"/>
      <c r="N54" s="2857"/>
      <c r="O54" s="2160"/>
    </row>
    <row r="55" spans="1:15" ht="12.4" thickBot="1">
      <c r="A55" s="3298" t="s">
        <v>204</v>
      </c>
      <c r="B55" s="3299"/>
      <c r="C55" s="2981"/>
      <c r="D55" s="2987">
        <v>350000</v>
      </c>
      <c r="E55" s="2987">
        <v>350000</v>
      </c>
      <c r="F55" s="2987">
        <v>350000</v>
      </c>
      <c r="G55" s="2987">
        <v>350000</v>
      </c>
      <c r="H55" s="2987">
        <v>350000</v>
      </c>
      <c r="I55" s="2987">
        <v>350000</v>
      </c>
      <c r="J55" s="2987">
        <v>350000</v>
      </c>
      <c r="K55" s="2854">
        <f t="shared" ref="K55" si="6">SUM(K53:K54)</f>
        <v>0</v>
      </c>
      <c r="L55" s="2855">
        <f t="shared" si="0"/>
        <v>-350000</v>
      </c>
      <c r="M55" s="2856">
        <f>'Výdaje kapitol celkem'!AS35</f>
        <v>0</v>
      </c>
      <c r="N55" s="2857">
        <f>+M55-K55</f>
        <v>0</v>
      </c>
      <c r="O55" s="2160"/>
    </row>
    <row r="56" spans="1:15" ht="20.25" customHeight="1" outlineLevel="1">
      <c r="A56" s="2898">
        <v>3429</v>
      </c>
      <c r="B56" s="2819">
        <v>5171</v>
      </c>
      <c r="C56" s="2980"/>
      <c r="D56" s="2986">
        <v>0</v>
      </c>
      <c r="E56" s="2986">
        <v>0</v>
      </c>
      <c r="F56" s="2986">
        <v>0</v>
      </c>
      <c r="G56" s="2986">
        <v>0</v>
      </c>
      <c r="H56" s="2986">
        <v>0</v>
      </c>
      <c r="I56" s="2986">
        <v>0</v>
      </c>
      <c r="J56" s="2986">
        <v>0</v>
      </c>
      <c r="K56" s="2821">
        <f>+[3]Tesko!$B$12</f>
        <v>0</v>
      </c>
      <c r="L56" s="2822">
        <f t="shared" si="0"/>
        <v>0</v>
      </c>
      <c r="M56" s="2850"/>
      <c r="N56" s="2857"/>
      <c r="O56" s="2160"/>
    </row>
    <row r="57" spans="1:15" ht="20.25" customHeight="1" outlineLevel="1">
      <c r="A57" s="2898">
        <v>3429</v>
      </c>
      <c r="B57" s="2819">
        <v>5171</v>
      </c>
      <c r="C57" s="2980"/>
      <c r="D57" s="2986">
        <v>0</v>
      </c>
      <c r="E57" s="2986">
        <v>0</v>
      </c>
      <c r="F57" s="2986">
        <v>0</v>
      </c>
      <c r="G57" s="2986">
        <v>0</v>
      </c>
      <c r="H57" s="2986">
        <v>0</v>
      </c>
      <c r="I57" s="2986">
        <v>0</v>
      </c>
      <c r="J57" s="2986">
        <v>0</v>
      </c>
      <c r="K57" s="2821">
        <f>+[3]Tesko!$B$13</f>
        <v>0</v>
      </c>
      <c r="L57" s="2822">
        <f t="shared" si="0"/>
        <v>0</v>
      </c>
      <c r="M57" s="2850"/>
      <c r="N57" s="2857"/>
      <c r="O57" s="2160"/>
    </row>
    <row r="58" spans="1:15" ht="12.4" thickBot="1">
      <c r="A58" s="3298" t="s">
        <v>1199</v>
      </c>
      <c r="B58" s="3299"/>
      <c r="C58" s="2981"/>
      <c r="D58" s="2987">
        <v>0</v>
      </c>
      <c r="E58" s="2987">
        <v>0</v>
      </c>
      <c r="F58" s="2987">
        <v>0</v>
      </c>
      <c r="G58" s="2987">
        <v>0</v>
      </c>
      <c r="H58" s="2987">
        <v>0</v>
      </c>
      <c r="I58" s="2987">
        <v>0</v>
      </c>
      <c r="J58" s="2987">
        <v>0</v>
      </c>
      <c r="K58" s="2854">
        <f t="shared" ref="K58" si="7">SUM(K56:K57)</f>
        <v>0</v>
      </c>
      <c r="L58" s="2855">
        <f t="shared" si="0"/>
        <v>0</v>
      </c>
      <c r="M58" s="2856">
        <f>'Výdaje kapitol celkem'!AT35</f>
        <v>0</v>
      </c>
      <c r="N58" s="2857">
        <f>+M58-K58</f>
        <v>0</v>
      </c>
      <c r="O58" s="2160"/>
    </row>
    <row r="59" spans="1:15" ht="20.25" customHeight="1" outlineLevel="1">
      <c r="A59" s="2898">
        <v>3632</v>
      </c>
      <c r="B59" s="2819">
        <v>5171</v>
      </c>
      <c r="C59" s="2980" t="s">
        <v>1746</v>
      </c>
      <c r="D59" s="2986">
        <v>100000</v>
      </c>
      <c r="E59" s="2986">
        <v>100000</v>
      </c>
      <c r="F59" s="2986">
        <v>100000</v>
      </c>
      <c r="G59" s="2986">
        <v>100000</v>
      </c>
      <c r="H59" s="2986">
        <v>100000</v>
      </c>
      <c r="I59" s="2986">
        <v>100000</v>
      </c>
      <c r="J59" s="2986">
        <v>100000</v>
      </c>
      <c r="K59" s="2821">
        <f>+[3]Hřbitov!$B$26</f>
        <v>53000</v>
      </c>
      <c r="L59" s="2822">
        <f t="shared" si="0"/>
        <v>-47000</v>
      </c>
      <c r="M59" s="2850"/>
      <c r="N59" s="2857"/>
      <c r="O59" s="2160"/>
    </row>
    <row r="60" spans="1:15" ht="20.25" customHeight="1" outlineLevel="1">
      <c r="A60" s="2898">
        <v>3632</v>
      </c>
      <c r="B60" s="2819">
        <v>5171</v>
      </c>
      <c r="C60" s="2980"/>
      <c r="D60" s="2986">
        <v>0</v>
      </c>
      <c r="E60" s="2986">
        <v>0</v>
      </c>
      <c r="F60" s="2986">
        <v>0</v>
      </c>
      <c r="G60" s="2986">
        <v>0</v>
      </c>
      <c r="H60" s="2986">
        <v>330000</v>
      </c>
      <c r="I60" s="2986">
        <v>330000</v>
      </c>
      <c r="J60" s="2986">
        <v>330000</v>
      </c>
      <c r="K60" s="2821">
        <f>+[3]Hřbitov!$B$27</f>
        <v>0</v>
      </c>
      <c r="L60" s="2822">
        <f t="shared" si="0"/>
        <v>-330000</v>
      </c>
      <c r="M60" s="2850"/>
      <c r="N60" s="2857"/>
      <c r="O60" s="2160"/>
    </row>
    <row r="61" spans="1:15" ht="12.4" thickBot="1">
      <c r="A61" s="3298" t="s">
        <v>253</v>
      </c>
      <c r="B61" s="3299"/>
      <c r="C61" s="2981"/>
      <c r="D61" s="2987">
        <v>100000</v>
      </c>
      <c r="E61" s="2987">
        <v>100000</v>
      </c>
      <c r="F61" s="2987">
        <v>100000</v>
      </c>
      <c r="G61" s="2987">
        <v>100000</v>
      </c>
      <c r="H61" s="2987">
        <v>430000</v>
      </c>
      <c r="I61" s="2987">
        <v>430000</v>
      </c>
      <c r="J61" s="2987">
        <v>430000</v>
      </c>
      <c r="K61" s="2854">
        <f t="shared" ref="K61" si="8">SUM(K59:K60)</f>
        <v>53000</v>
      </c>
      <c r="L61" s="2855">
        <f t="shared" si="0"/>
        <v>-377000</v>
      </c>
      <c r="M61" s="2856">
        <f>'Výdaje kapitol celkem'!AU35</f>
        <v>53000</v>
      </c>
      <c r="N61" s="2857">
        <f>+M61-K61</f>
        <v>0</v>
      </c>
      <c r="O61" s="2160"/>
    </row>
    <row r="62" spans="1:15" ht="25.5" customHeight="1" outlineLevel="1">
      <c r="A62" s="2898">
        <v>3412</v>
      </c>
      <c r="B62" s="2819">
        <v>5171</v>
      </c>
      <c r="C62" s="2980" t="s">
        <v>1744</v>
      </c>
      <c r="D62" s="2986">
        <v>0</v>
      </c>
      <c r="E62" s="2986">
        <v>0</v>
      </c>
      <c r="F62" s="2986">
        <v>450000</v>
      </c>
      <c r="G62" s="2986">
        <v>450000</v>
      </c>
      <c r="H62" s="2986">
        <v>450000</v>
      </c>
      <c r="I62" s="2986">
        <v>450000</v>
      </c>
      <c r="J62" s="2986">
        <v>450000</v>
      </c>
      <c r="K62" s="2821">
        <f>+[3]koupaliště!$B$28</f>
        <v>180000</v>
      </c>
      <c r="L62" s="2822">
        <f t="shared" si="0"/>
        <v>-270000</v>
      </c>
      <c r="M62" s="2850"/>
      <c r="N62" s="2857"/>
      <c r="O62" s="2160"/>
    </row>
    <row r="63" spans="1:15" ht="18" customHeight="1" outlineLevel="1">
      <c r="A63" s="2899">
        <v>3412</v>
      </c>
      <c r="B63" s="2866">
        <v>5171</v>
      </c>
      <c r="C63" s="2980" t="s">
        <v>1745</v>
      </c>
      <c r="D63" s="2986">
        <v>0</v>
      </c>
      <c r="E63" s="2986">
        <v>40000</v>
      </c>
      <c r="F63" s="2986">
        <v>300000</v>
      </c>
      <c r="G63" s="2986">
        <v>300000</v>
      </c>
      <c r="H63" s="2986">
        <v>300000</v>
      </c>
      <c r="I63" s="2986">
        <v>300000</v>
      </c>
      <c r="J63" s="2986">
        <v>300000</v>
      </c>
      <c r="K63" s="3053">
        <f>+[3]koupaliště!$B$29</f>
        <v>110000</v>
      </c>
      <c r="L63" s="2822">
        <f t="shared" si="0"/>
        <v>-190000</v>
      </c>
      <c r="M63" s="2856"/>
      <c r="N63" s="2857"/>
      <c r="O63" s="2160"/>
    </row>
    <row r="64" spans="1:15" ht="18" hidden="1" customHeight="1" outlineLevel="1">
      <c r="A64" s="2899">
        <v>3412</v>
      </c>
      <c r="B64" s="2866">
        <v>5171</v>
      </c>
      <c r="C64" s="2980"/>
      <c r="D64" s="2986"/>
      <c r="E64" s="2986"/>
      <c r="F64" s="2986"/>
      <c r="G64" s="2986"/>
      <c r="H64" s="2986"/>
      <c r="I64" s="2986"/>
      <c r="J64" s="2986"/>
      <c r="K64" s="2821"/>
      <c r="L64" s="2822">
        <f t="shared" si="0"/>
        <v>0</v>
      </c>
      <c r="M64" s="2850"/>
      <c r="N64" s="2857"/>
      <c r="O64" s="2160"/>
    </row>
    <row r="65" spans="1:15" ht="12.4" thickBot="1">
      <c r="A65" s="3298" t="s">
        <v>1179</v>
      </c>
      <c r="B65" s="3299">
        <v>5171</v>
      </c>
      <c r="C65" s="2981"/>
      <c r="D65" s="2987">
        <v>0</v>
      </c>
      <c r="E65" s="2987">
        <v>40000</v>
      </c>
      <c r="F65" s="2987">
        <v>750000</v>
      </c>
      <c r="G65" s="2987">
        <v>750000</v>
      </c>
      <c r="H65" s="2987">
        <v>750000</v>
      </c>
      <c r="I65" s="2987">
        <v>750000</v>
      </c>
      <c r="J65" s="2987">
        <v>750000</v>
      </c>
      <c r="K65" s="2854">
        <f t="shared" ref="K65" si="9">SUM(K62:K64)</f>
        <v>290000</v>
      </c>
      <c r="L65" s="2855">
        <f t="shared" si="0"/>
        <v>-460000</v>
      </c>
      <c r="M65" s="2856">
        <f>'Výdaje kapitol celkem'!AX35</f>
        <v>290000</v>
      </c>
      <c r="N65" s="2857">
        <f>+M65-K65</f>
        <v>0</v>
      </c>
      <c r="O65" s="2160"/>
    </row>
    <row r="66" spans="1:15" ht="25.5" customHeight="1" outlineLevel="1">
      <c r="A66" s="2898" t="s">
        <v>1174</v>
      </c>
      <c r="B66" s="2819">
        <v>5171</v>
      </c>
      <c r="C66" s="2980" t="s">
        <v>2192</v>
      </c>
      <c r="D66" s="2986">
        <v>400000</v>
      </c>
      <c r="E66" s="2986">
        <v>400000</v>
      </c>
      <c r="F66" s="2986">
        <v>400000</v>
      </c>
      <c r="G66" s="2986">
        <v>400000</v>
      </c>
      <c r="H66" s="2986">
        <v>400000</v>
      </c>
      <c r="I66" s="2986">
        <v>400000</v>
      </c>
      <c r="J66" s="2986">
        <v>400000</v>
      </c>
      <c r="K66" s="2821">
        <f>+[3]Hřiště!$B$22</f>
        <v>300000</v>
      </c>
      <c r="L66" s="2822">
        <f t="shared" si="0"/>
        <v>-100000</v>
      </c>
      <c r="M66" s="2850"/>
      <c r="N66" s="2857"/>
      <c r="O66" s="2160"/>
    </row>
    <row r="67" spans="1:15" ht="18" customHeight="1" outlineLevel="1">
      <c r="A67" s="2899" t="s">
        <v>1174</v>
      </c>
      <c r="B67" s="2866">
        <v>5171</v>
      </c>
      <c r="C67" s="2980" t="s">
        <v>1743</v>
      </c>
      <c r="D67" s="2986">
        <v>150000</v>
      </c>
      <c r="E67" s="2986">
        <v>150000</v>
      </c>
      <c r="F67" s="2986">
        <v>150000</v>
      </c>
      <c r="G67" s="2986">
        <v>150000</v>
      </c>
      <c r="H67" s="2986">
        <v>150000</v>
      </c>
      <c r="I67" s="2986">
        <v>150000</v>
      </c>
      <c r="J67" s="2986">
        <v>150000</v>
      </c>
      <c r="K67" s="2821">
        <f>+[3]Hřiště!$B$23</f>
        <v>150000</v>
      </c>
      <c r="L67" s="2822">
        <f t="shared" si="0"/>
        <v>0</v>
      </c>
      <c r="M67" s="2850"/>
      <c r="N67" s="2857"/>
      <c r="O67" s="2160"/>
    </row>
    <row r="68" spans="1:15" ht="18" hidden="1" customHeight="1" outlineLevel="1">
      <c r="A68" s="2899" t="s">
        <v>1174</v>
      </c>
      <c r="B68" s="2866">
        <v>5171</v>
      </c>
      <c r="C68" s="2980"/>
      <c r="D68" s="2986"/>
      <c r="E68" s="2986"/>
      <c r="F68" s="2986"/>
      <c r="G68" s="2986"/>
      <c r="H68" s="2986"/>
      <c r="I68" s="2986"/>
      <c r="J68" s="2986"/>
      <c r="K68" s="2821"/>
      <c r="L68" s="2822">
        <f t="shared" si="0"/>
        <v>0</v>
      </c>
      <c r="M68" s="2850"/>
      <c r="N68" s="2857"/>
      <c r="O68" s="2160"/>
    </row>
    <row r="69" spans="1:15" ht="12.4" thickBot="1">
      <c r="A69" s="3298" t="s">
        <v>1178</v>
      </c>
      <c r="B69" s="3299">
        <v>5171</v>
      </c>
      <c r="C69" s="2981"/>
      <c r="D69" s="2987">
        <v>550000</v>
      </c>
      <c r="E69" s="2987">
        <v>550000</v>
      </c>
      <c r="F69" s="2987">
        <v>550000</v>
      </c>
      <c r="G69" s="2987">
        <v>550000</v>
      </c>
      <c r="H69" s="2987">
        <v>550000</v>
      </c>
      <c r="I69" s="2987">
        <v>550000</v>
      </c>
      <c r="J69" s="2987">
        <v>550000</v>
      </c>
      <c r="K69" s="2854">
        <f t="shared" ref="K69" si="10">SUM(K66:K68)</f>
        <v>450000</v>
      </c>
      <c r="L69" s="2855">
        <f t="shared" si="0"/>
        <v>-100000</v>
      </c>
      <c r="M69" s="2856">
        <f>'Výdaje kapitol celkem'!BA35</f>
        <v>450000</v>
      </c>
      <c r="N69" s="2857">
        <f>+M69-K69</f>
        <v>0</v>
      </c>
      <c r="O69" s="2160"/>
    </row>
    <row r="70" spans="1:15" ht="25.5" customHeight="1" outlineLevel="1">
      <c r="A70" s="2898" t="s">
        <v>1176</v>
      </c>
      <c r="B70" s="2819">
        <v>5171</v>
      </c>
      <c r="C70" s="2980"/>
      <c r="D70" s="2986">
        <v>0</v>
      </c>
      <c r="E70" s="2986">
        <v>0</v>
      </c>
      <c r="F70" s="2986">
        <v>0</v>
      </c>
      <c r="G70" s="2986">
        <v>0</v>
      </c>
      <c r="H70" s="2986">
        <v>0</v>
      </c>
      <c r="I70" s="2986">
        <v>0</v>
      </c>
      <c r="J70" s="2986">
        <v>0</v>
      </c>
      <c r="K70" s="2821">
        <f>+[3]Spolky!$B$24</f>
        <v>0</v>
      </c>
      <c r="L70" s="2822">
        <f t="shared" ref="L70:L133" si="11">+K70-J70</f>
        <v>0</v>
      </c>
      <c r="M70" s="2850"/>
      <c r="N70" s="2857"/>
      <c r="O70" s="2160"/>
    </row>
    <row r="71" spans="1:15" ht="18" customHeight="1" outlineLevel="1">
      <c r="A71" s="2899" t="s">
        <v>1176</v>
      </c>
      <c r="B71" s="2866">
        <v>5171</v>
      </c>
      <c r="C71" s="2980"/>
      <c r="D71" s="2986">
        <v>0</v>
      </c>
      <c r="E71" s="2986">
        <v>0</v>
      </c>
      <c r="F71" s="2986">
        <v>0</v>
      </c>
      <c r="G71" s="2986">
        <v>0</v>
      </c>
      <c r="H71" s="2986">
        <v>0</v>
      </c>
      <c r="I71" s="2986">
        <v>0</v>
      </c>
      <c r="J71" s="2986">
        <v>0</v>
      </c>
      <c r="K71" s="2821">
        <f>+[3]Spolky!$B$25</f>
        <v>0</v>
      </c>
      <c r="L71" s="2822">
        <f t="shared" si="11"/>
        <v>0</v>
      </c>
      <c r="M71" s="2850"/>
      <c r="N71" s="2857"/>
      <c r="O71" s="2160"/>
    </row>
    <row r="72" spans="1:15" ht="18" customHeight="1" outlineLevel="1">
      <c r="A72" s="2899" t="s">
        <v>1176</v>
      </c>
      <c r="B72" s="2866">
        <v>5171</v>
      </c>
      <c r="C72" s="2980"/>
      <c r="D72" s="2986"/>
      <c r="E72" s="2986"/>
      <c r="F72" s="2986"/>
      <c r="G72" s="2986"/>
      <c r="H72" s="2986"/>
      <c r="I72" s="2986"/>
      <c r="J72" s="2986"/>
      <c r="K72" s="2821"/>
      <c r="L72" s="2822">
        <f t="shared" si="11"/>
        <v>0</v>
      </c>
      <c r="M72" s="2850"/>
      <c r="N72" s="2857"/>
      <c r="O72" s="2160"/>
    </row>
    <row r="73" spans="1:15" ht="20.25" customHeight="1" thickBot="1">
      <c r="A73" s="3298" t="s">
        <v>1177</v>
      </c>
      <c r="B73" s="3299">
        <v>5171</v>
      </c>
      <c r="C73" s="2981"/>
      <c r="D73" s="2987">
        <v>0</v>
      </c>
      <c r="E73" s="2987">
        <v>0</v>
      </c>
      <c r="F73" s="2987">
        <v>0</v>
      </c>
      <c r="G73" s="2987">
        <v>0</v>
      </c>
      <c r="H73" s="2987">
        <v>0</v>
      </c>
      <c r="I73" s="2987">
        <v>0</v>
      </c>
      <c r="J73" s="2987">
        <v>0</v>
      </c>
      <c r="K73" s="2854">
        <f t="shared" ref="K73" si="12">SUM(K70:K72)</f>
        <v>0</v>
      </c>
      <c r="L73" s="2855">
        <f t="shared" si="11"/>
        <v>0</v>
      </c>
      <c r="M73" s="2856">
        <f>'Výdaje kapitol celkem'!BD35</f>
        <v>0</v>
      </c>
      <c r="N73" s="2857">
        <f>+M73-K73</f>
        <v>0</v>
      </c>
      <c r="O73" s="2160"/>
    </row>
    <row r="74" spans="1:15" ht="18" customHeight="1" outlineLevel="1">
      <c r="A74" s="2897">
        <v>3113</v>
      </c>
      <c r="B74" s="2814">
        <v>5171</v>
      </c>
      <c r="C74" s="3054" t="s">
        <v>3004</v>
      </c>
      <c r="D74" s="2985">
        <v>460000</v>
      </c>
      <c r="E74" s="2985">
        <v>460000</v>
      </c>
      <c r="F74" s="2985">
        <v>460000</v>
      </c>
      <c r="G74" s="2985">
        <v>460000</v>
      </c>
      <c r="H74" s="2985">
        <v>660000</v>
      </c>
      <c r="I74" s="2985">
        <v>660000</v>
      </c>
      <c r="J74" s="2985">
        <v>660000</v>
      </c>
      <c r="K74" s="2816">
        <f>+[3]ZŠ!$B$12</f>
        <v>660000</v>
      </c>
      <c r="L74" s="2822">
        <f t="shared" si="11"/>
        <v>0</v>
      </c>
      <c r="M74" s="2850"/>
      <c r="N74" s="2857"/>
      <c r="O74" s="2160"/>
    </row>
    <row r="75" spans="1:15" ht="20.25" customHeight="1" outlineLevel="1">
      <c r="A75" s="2900">
        <v>3113</v>
      </c>
      <c r="B75" s="2877">
        <v>5171</v>
      </c>
      <c r="C75" s="3055" t="s">
        <v>3005</v>
      </c>
      <c r="D75" s="2990">
        <v>200000</v>
      </c>
      <c r="E75" s="2990">
        <v>200000</v>
      </c>
      <c r="F75" s="2990">
        <v>200000</v>
      </c>
      <c r="G75" s="2990">
        <v>200000</v>
      </c>
      <c r="H75" s="2990">
        <v>1000000</v>
      </c>
      <c r="I75" s="2990">
        <v>1000000</v>
      </c>
      <c r="J75" s="2990">
        <v>1000000</v>
      </c>
      <c r="K75" s="2873">
        <f>+[3]ZŠ!$B$13</f>
        <v>1000000</v>
      </c>
      <c r="L75" s="2870">
        <f t="shared" si="11"/>
        <v>0</v>
      </c>
      <c r="M75" s="2850"/>
      <c r="N75" s="2857"/>
      <c r="O75" s="2160"/>
    </row>
    <row r="76" spans="1:15" ht="12.4" thickBot="1">
      <c r="A76" s="3298" t="s">
        <v>205</v>
      </c>
      <c r="B76" s="3299"/>
      <c r="C76" s="2981"/>
      <c r="D76" s="2987">
        <v>660000</v>
      </c>
      <c r="E76" s="2987">
        <v>660000</v>
      </c>
      <c r="F76" s="2987">
        <v>660000</v>
      </c>
      <c r="G76" s="2987">
        <v>660000</v>
      </c>
      <c r="H76" s="2987">
        <v>1660000</v>
      </c>
      <c r="I76" s="2987">
        <v>1660000</v>
      </c>
      <c r="J76" s="2987">
        <v>1660000</v>
      </c>
      <c r="K76" s="2854">
        <f t="shared" ref="K76" si="13">SUM(K74:K75)</f>
        <v>1660000</v>
      </c>
      <c r="L76" s="2855">
        <f t="shared" si="11"/>
        <v>0</v>
      </c>
      <c r="M76" s="2856">
        <f>'Výdaje kapitol celkem'!BG35</f>
        <v>1660000</v>
      </c>
      <c r="N76" s="2857">
        <f>+M76-K76</f>
        <v>0</v>
      </c>
      <c r="O76" s="2160"/>
    </row>
    <row r="77" spans="1:15" ht="17.25" customHeight="1" outlineLevel="1">
      <c r="A77" s="2897">
        <v>3421</v>
      </c>
      <c r="B77" s="2814">
        <v>5171</v>
      </c>
      <c r="C77" s="2979" t="s">
        <v>1728</v>
      </c>
      <c r="D77" s="2985">
        <v>180000</v>
      </c>
      <c r="E77" s="2985">
        <v>180000</v>
      </c>
      <c r="F77" s="2985">
        <v>180000</v>
      </c>
      <c r="G77" s="2985">
        <v>180000</v>
      </c>
      <c r="H77" s="2985">
        <v>180000</v>
      </c>
      <c r="I77" s="2985">
        <v>180000</v>
      </c>
      <c r="J77" s="2985">
        <v>180000</v>
      </c>
      <c r="K77" s="2816">
        <f>+[3]MDDM!$B$12</f>
        <v>141000</v>
      </c>
      <c r="L77" s="2817">
        <f t="shared" si="11"/>
        <v>-39000</v>
      </c>
      <c r="M77" s="2850"/>
      <c r="N77" s="2857"/>
      <c r="O77" s="2160"/>
    </row>
    <row r="78" spans="1:15" ht="26.25" customHeight="1" outlineLevel="1">
      <c r="A78" s="2900">
        <v>3421</v>
      </c>
      <c r="B78" s="2877">
        <v>5171</v>
      </c>
      <c r="C78" s="2982" t="s">
        <v>1736</v>
      </c>
      <c r="D78" s="2988">
        <v>0</v>
      </c>
      <c r="E78" s="2988">
        <v>0</v>
      </c>
      <c r="F78" s="2988">
        <v>0</v>
      </c>
      <c r="G78" s="2988">
        <v>0</v>
      </c>
      <c r="H78" s="2988">
        <v>0</v>
      </c>
      <c r="I78" s="2988">
        <v>0</v>
      </c>
      <c r="J78" s="2988">
        <v>0</v>
      </c>
      <c r="K78" s="2829">
        <f>+[3]MDDM!$B$13</f>
        <v>0</v>
      </c>
      <c r="L78" s="2870">
        <f t="shared" si="11"/>
        <v>0</v>
      </c>
      <c r="M78" s="2850"/>
      <c r="N78" s="2857"/>
      <c r="O78" s="2160"/>
    </row>
    <row r="79" spans="1:15" ht="19.5" hidden="1" customHeight="1" outlineLevel="1">
      <c r="A79" s="2900">
        <v>3421</v>
      </c>
      <c r="B79" s="2877">
        <v>5171</v>
      </c>
      <c r="C79" s="2983"/>
      <c r="D79" s="2989"/>
      <c r="E79" s="2989"/>
      <c r="F79" s="2989"/>
      <c r="G79" s="2989"/>
      <c r="H79" s="2989"/>
      <c r="I79" s="2989"/>
      <c r="J79" s="2989"/>
      <c r="K79" s="2831"/>
      <c r="L79" s="2870">
        <f t="shared" si="11"/>
        <v>0</v>
      </c>
      <c r="M79" s="2850"/>
      <c r="N79" s="2857"/>
      <c r="O79" s="2160"/>
    </row>
    <row r="80" spans="1:15" ht="18" hidden="1" customHeight="1" outlineLevel="1">
      <c r="A80" s="2900">
        <v>3421</v>
      </c>
      <c r="B80" s="2877">
        <v>5171</v>
      </c>
      <c r="C80" s="2984"/>
      <c r="D80" s="2990"/>
      <c r="E80" s="2990"/>
      <c r="F80" s="2990"/>
      <c r="G80" s="2990"/>
      <c r="H80" s="2990"/>
      <c r="I80" s="2990"/>
      <c r="J80" s="2990"/>
      <c r="K80" s="2873"/>
      <c r="L80" s="2870">
        <f t="shared" si="11"/>
        <v>0</v>
      </c>
      <c r="M80" s="2850"/>
      <c r="N80" s="2857"/>
      <c r="O80" s="2160"/>
    </row>
    <row r="81" spans="1:15" ht="12.4" thickBot="1">
      <c r="A81" s="3298" t="s">
        <v>206</v>
      </c>
      <c r="B81" s="3299"/>
      <c r="C81" s="2981"/>
      <c r="D81" s="2987">
        <v>180000</v>
      </c>
      <c r="E81" s="2987">
        <v>180000</v>
      </c>
      <c r="F81" s="2987">
        <v>180000</v>
      </c>
      <c r="G81" s="2987">
        <v>180000</v>
      </c>
      <c r="H81" s="2987">
        <v>180000</v>
      </c>
      <c r="I81" s="2987">
        <v>180000</v>
      </c>
      <c r="J81" s="2987">
        <v>180000</v>
      </c>
      <c r="K81" s="2854">
        <f t="shared" ref="K81" si="14">SUM(K77:K80)</f>
        <v>141000</v>
      </c>
      <c r="L81" s="2855">
        <f t="shared" si="11"/>
        <v>-39000</v>
      </c>
      <c r="M81" s="2856">
        <f>'Výdaje kapitol celkem'!BP35</f>
        <v>141000</v>
      </c>
      <c r="N81" s="2857">
        <f>+M81-K81</f>
        <v>0</v>
      </c>
      <c r="O81" s="2160"/>
    </row>
    <row r="82" spans="1:15" outlineLevel="1">
      <c r="A82" s="2897" t="s">
        <v>192</v>
      </c>
      <c r="B82" s="2814">
        <v>5171</v>
      </c>
      <c r="C82" s="2979" t="s">
        <v>1728</v>
      </c>
      <c r="D82" s="2985">
        <v>90000</v>
      </c>
      <c r="E82" s="2985">
        <v>90000</v>
      </c>
      <c r="F82" s="2985">
        <v>90000</v>
      </c>
      <c r="G82" s="2985">
        <v>90000</v>
      </c>
      <c r="H82" s="2985">
        <v>90000</v>
      </c>
      <c r="I82" s="2985">
        <v>90000</v>
      </c>
      <c r="J82" s="2985">
        <v>90000</v>
      </c>
      <c r="K82" s="2816">
        <f>+'[3]MŠ Kollárova'!$B$12</f>
        <v>90000</v>
      </c>
      <c r="L82" s="2817">
        <f t="shared" si="11"/>
        <v>0</v>
      </c>
      <c r="M82" s="2850"/>
      <c r="N82" s="2857"/>
      <c r="O82" s="2160"/>
    </row>
    <row r="83" spans="1:15" ht="20.25" customHeight="1" outlineLevel="1">
      <c r="A83" s="2899" t="s">
        <v>192</v>
      </c>
      <c r="B83" s="2866">
        <v>5171</v>
      </c>
      <c r="C83" s="2980" t="s">
        <v>2194</v>
      </c>
      <c r="D83" s="2986">
        <v>100000</v>
      </c>
      <c r="E83" s="2986">
        <v>100000</v>
      </c>
      <c r="F83" s="2986">
        <v>100000</v>
      </c>
      <c r="G83" s="2986">
        <v>100000</v>
      </c>
      <c r="H83" s="2986">
        <v>100000</v>
      </c>
      <c r="I83" s="2986">
        <v>100000</v>
      </c>
      <c r="J83" s="2986">
        <v>100000</v>
      </c>
      <c r="K83" s="2821">
        <f>+'[3]MŠ Kollárova'!$B$13</f>
        <v>100000</v>
      </c>
      <c r="L83" s="2822">
        <f t="shared" si="11"/>
        <v>0</v>
      </c>
      <c r="M83" s="2850"/>
      <c r="N83" s="2857"/>
      <c r="O83" s="2160"/>
    </row>
    <row r="84" spans="1:15" ht="20.25" customHeight="1" outlineLevel="1">
      <c r="A84" s="2899" t="s">
        <v>192</v>
      </c>
      <c r="B84" s="2866">
        <v>5171</v>
      </c>
      <c r="C84" s="2980" t="s">
        <v>2195</v>
      </c>
      <c r="D84" s="2986">
        <v>100000</v>
      </c>
      <c r="E84" s="2986">
        <v>100000</v>
      </c>
      <c r="F84" s="2986">
        <v>100000</v>
      </c>
      <c r="G84" s="2986">
        <v>100000</v>
      </c>
      <c r="H84" s="2986">
        <v>100000</v>
      </c>
      <c r="I84" s="2986">
        <v>100000</v>
      </c>
      <c r="J84" s="2986">
        <v>100000</v>
      </c>
      <c r="K84" s="2821">
        <f>+'[3]MŠ Kollárova'!$B$14</f>
        <v>100000</v>
      </c>
      <c r="L84" s="2822">
        <f t="shared" si="11"/>
        <v>0</v>
      </c>
      <c r="M84" s="2850"/>
      <c r="N84" s="2857"/>
      <c r="O84" s="2160"/>
    </row>
    <row r="85" spans="1:15" ht="20.25" customHeight="1" outlineLevel="1">
      <c r="A85" s="2899" t="s">
        <v>192</v>
      </c>
      <c r="B85" s="2866">
        <v>5171</v>
      </c>
      <c r="C85" s="2982" t="s">
        <v>1733</v>
      </c>
      <c r="D85" s="2988">
        <v>200000</v>
      </c>
      <c r="E85" s="2988">
        <v>200000</v>
      </c>
      <c r="F85" s="2988">
        <v>200000</v>
      </c>
      <c r="G85" s="2988">
        <v>200000</v>
      </c>
      <c r="H85" s="2988">
        <v>0</v>
      </c>
      <c r="I85" s="2988">
        <v>0</v>
      </c>
      <c r="J85" s="2988">
        <v>0</v>
      </c>
      <c r="K85" s="2829">
        <f>+'[3]MŠ Kollárova'!$B$15</f>
        <v>0</v>
      </c>
      <c r="L85" s="2870">
        <f t="shared" si="11"/>
        <v>0</v>
      </c>
      <c r="M85" s="2850"/>
      <c r="N85" s="2857"/>
      <c r="O85" s="2160"/>
    </row>
    <row r="86" spans="1:15" ht="20.25" customHeight="1" outlineLevel="1">
      <c r="A86" s="2899" t="s">
        <v>192</v>
      </c>
      <c r="B86" s="2866">
        <v>5171</v>
      </c>
      <c r="C86" s="2982" t="s">
        <v>2196</v>
      </c>
      <c r="D86" s="2988">
        <v>300000</v>
      </c>
      <c r="E86" s="2988">
        <v>300000</v>
      </c>
      <c r="F86" s="2988">
        <v>300000</v>
      </c>
      <c r="G86" s="2988">
        <v>300000</v>
      </c>
      <c r="H86" s="2988">
        <v>300000</v>
      </c>
      <c r="I86" s="2988">
        <v>300000</v>
      </c>
      <c r="J86" s="2988">
        <v>300000</v>
      </c>
      <c r="K86" s="2829">
        <f>+'[3]MŠ Kollárova'!$B$16</f>
        <v>300000</v>
      </c>
      <c r="L86" s="2870">
        <f t="shared" si="11"/>
        <v>0</v>
      </c>
      <c r="M86" s="2850"/>
      <c r="N86" s="2857"/>
      <c r="O86" s="2160"/>
    </row>
    <row r="87" spans="1:15" ht="20.25" hidden="1" customHeight="1" outlineLevel="1">
      <c r="A87" s="2900" t="s">
        <v>192</v>
      </c>
      <c r="B87" s="2877">
        <v>5171</v>
      </c>
      <c r="C87" s="2984"/>
      <c r="D87" s="2990"/>
      <c r="E87" s="2990"/>
      <c r="F87" s="2990"/>
      <c r="G87" s="2990"/>
      <c r="H87" s="2990"/>
      <c r="I87" s="2990"/>
      <c r="J87" s="2990"/>
      <c r="K87" s="2873"/>
      <c r="L87" s="2870">
        <f t="shared" si="11"/>
        <v>0</v>
      </c>
      <c r="M87" s="2850"/>
      <c r="N87" s="2857"/>
      <c r="O87" s="2160"/>
    </row>
    <row r="88" spans="1:15" ht="12.4" thickBot="1">
      <c r="A88" s="3298" t="s">
        <v>1212</v>
      </c>
      <c r="B88" s="3299"/>
      <c r="C88" s="2981"/>
      <c r="D88" s="2987">
        <v>790000</v>
      </c>
      <c r="E88" s="2987">
        <v>790000</v>
      </c>
      <c r="F88" s="2987">
        <v>790000</v>
      </c>
      <c r="G88" s="2987">
        <v>790000</v>
      </c>
      <c r="H88" s="2987">
        <v>590000</v>
      </c>
      <c r="I88" s="2987">
        <v>590000</v>
      </c>
      <c r="J88" s="2987">
        <v>590000</v>
      </c>
      <c r="K88" s="2854">
        <f t="shared" ref="K88" si="15">SUM(K82:K87)</f>
        <v>590000</v>
      </c>
      <c r="L88" s="2855">
        <f t="shared" si="11"/>
        <v>0</v>
      </c>
      <c r="M88" s="2856">
        <f>'Výdaje kapitol celkem'!BV35</f>
        <v>590000</v>
      </c>
      <c r="N88" s="2857">
        <f>+M88-K88</f>
        <v>0</v>
      </c>
      <c r="O88" s="2160"/>
    </row>
    <row r="89" spans="1:15" ht="20.25" customHeight="1" outlineLevel="1">
      <c r="A89" s="2897" t="s">
        <v>193</v>
      </c>
      <c r="B89" s="2814">
        <v>5171</v>
      </c>
      <c r="C89" s="2979" t="s">
        <v>1728</v>
      </c>
      <c r="D89" s="2985">
        <v>120000</v>
      </c>
      <c r="E89" s="2985">
        <v>120000</v>
      </c>
      <c r="F89" s="2985">
        <v>120000</v>
      </c>
      <c r="G89" s="2985">
        <v>120000</v>
      </c>
      <c r="H89" s="2985">
        <v>120000</v>
      </c>
      <c r="I89" s="2985">
        <v>120000</v>
      </c>
      <c r="J89" s="2985">
        <v>120000</v>
      </c>
      <c r="K89" s="2816">
        <f>+'[3]MŠ Pražská'!$B$12</f>
        <v>120000</v>
      </c>
      <c r="L89" s="2817">
        <f t="shared" si="11"/>
        <v>0</v>
      </c>
      <c r="M89" s="2850"/>
      <c r="N89" s="2857"/>
      <c r="O89" s="2160"/>
    </row>
    <row r="90" spans="1:15" ht="20.25" customHeight="1" outlineLevel="1">
      <c r="A90" s="2901" t="s">
        <v>193</v>
      </c>
      <c r="B90" s="2878">
        <v>5171</v>
      </c>
      <c r="C90" s="2983" t="s">
        <v>1734</v>
      </c>
      <c r="D90" s="2989">
        <v>300000</v>
      </c>
      <c r="E90" s="2989">
        <v>300000</v>
      </c>
      <c r="F90" s="2989">
        <v>300000</v>
      </c>
      <c r="G90" s="2989">
        <v>300000</v>
      </c>
      <c r="H90" s="2989">
        <v>300000</v>
      </c>
      <c r="I90" s="2989">
        <v>300000</v>
      </c>
      <c r="J90" s="2989">
        <v>300000</v>
      </c>
      <c r="K90" s="2831">
        <f>+'[3]MŠ Pražská'!$B$13</f>
        <v>100000</v>
      </c>
      <c r="L90" s="2822">
        <f t="shared" si="11"/>
        <v>-200000</v>
      </c>
      <c r="M90" s="2850"/>
      <c r="N90" s="2857"/>
      <c r="O90" s="2160"/>
    </row>
    <row r="91" spans="1:15" ht="20.25" customHeight="1" outlineLevel="1">
      <c r="A91" s="2900" t="s">
        <v>193</v>
      </c>
      <c r="B91" s="2877">
        <v>5171</v>
      </c>
      <c r="C91" s="2984" t="s">
        <v>2580</v>
      </c>
      <c r="D91" s="2990">
        <v>1500000</v>
      </c>
      <c r="E91" s="2990">
        <v>1500000</v>
      </c>
      <c r="F91" s="2990">
        <v>1500000</v>
      </c>
      <c r="G91" s="2990">
        <v>1500000</v>
      </c>
      <c r="H91" s="2990">
        <v>1500000</v>
      </c>
      <c r="I91" s="2990">
        <v>1500000</v>
      </c>
      <c r="J91" s="2990">
        <v>1495000</v>
      </c>
      <c r="K91" s="2873">
        <f>+'[3]MŠ Pražská'!$B$14</f>
        <v>695000</v>
      </c>
      <c r="L91" s="2870">
        <f t="shared" si="11"/>
        <v>-800000</v>
      </c>
      <c r="M91" s="2850"/>
      <c r="N91" s="2857"/>
      <c r="O91" s="2160"/>
    </row>
    <row r="92" spans="1:15" ht="12.4" thickBot="1">
      <c r="A92" s="3298" t="s">
        <v>208</v>
      </c>
      <c r="B92" s="3299"/>
      <c r="C92" s="2981"/>
      <c r="D92" s="2987">
        <v>1920000</v>
      </c>
      <c r="E92" s="2987">
        <v>1920000</v>
      </c>
      <c r="F92" s="2987">
        <v>1920000</v>
      </c>
      <c r="G92" s="2987">
        <v>1920000</v>
      </c>
      <c r="H92" s="2987">
        <v>1920000</v>
      </c>
      <c r="I92" s="2987">
        <v>1920000</v>
      </c>
      <c r="J92" s="2987">
        <v>1915000</v>
      </c>
      <c r="K92" s="2854">
        <f t="shared" ref="K92" si="16">SUM(K89:K91)</f>
        <v>915000</v>
      </c>
      <c r="L92" s="2855">
        <f t="shared" si="11"/>
        <v>-1000000</v>
      </c>
      <c r="M92" s="2856">
        <f>'Výdaje kapitol celkem'!BS35</f>
        <v>915000</v>
      </c>
      <c r="N92" s="2857">
        <f>+M92-K92</f>
        <v>0</v>
      </c>
      <c r="O92" s="2160"/>
    </row>
    <row r="93" spans="1:15" ht="20.25" customHeight="1" outlineLevel="1">
      <c r="A93" s="2897" t="s">
        <v>218</v>
      </c>
      <c r="B93" s="2814">
        <v>5171</v>
      </c>
      <c r="C93" s="2979" t="s">
        <v>1726</v>
      </c>
      <c r="D93" s="2985">
        <v>80000</v>
      </c>
      <c r="E93" s="2985">
        <v>80000</v>
      </c>
      <c r="F93" s="2985">
        <v>80000</v>
      </c>
      <c r="G93" s="2985">
        <v>80000</v>
      </c>
      <c r="H93" s="2985">
        <v>80000</v>
      </c>
      <c r="I93" s="2985">
        <v>80000</v>
      </c>
      <c r="J93" s="2985">
        <v>80000</v>
      </c>
      <c r="K93" s="2816">
        <f>+'[3]MŠ Cukrovar'!$B$13</f>
        <v>80000</v>
      </c>
      <c r="L93" s="2883">
        <f t="shared" si="11"/>
        <v>0</v>
      </c>
      <c r="M93" s="2850"/>
      <c r="N93" s="2857"/>
      <c r="O93" s="2160"/>
    </row>
    <row r="94" spans="1:15" ht="20.25" customHeight="1" outlineLevel="1">
      <c r="A94" s="2901" t="s">
        <v>218</v>
      </c>
      <c r="B94" s="2878">
        <v>5171</v>
      </c>
      <c r="C94" s="2983" t="s">
        <v>1727</v>
      </c>
      <c r="D94" s="2989">
        <v>50000</v>
      </c>
      <c r="E94" s="2989">
        <v>50000</v>
      </c>
      <c r="F94" s="2989">
        <v>50000</v>
      </c>
      <c r="G94" s="2989">
        <v>50000</v>
      </c>
      <c r="H94" s="2989">
        <v>50000</v>
      </c>
      <c r="I94" s="2989">
        <v>50000</v>
      </c>
      <c r="J94" s="2989">
        <v>50000</v>
      </c>
      <c r="K94" s="2831">
        <f>+'[3]MŠ Cukrovar'!$B$14</f>
        <v>50000</v>
      </c>
      <c r="L94" s="2863">
        <f t="shared" si="11"/>
        <v>0</v>
      </c>
      <c r="M94" s="2850"/>
      <c r="N94" s="2857"/>
      <c r="O94" s="2160"/>
    </row>
    <row r="95" spans="1:15" ht="20.25" customHeight="1" outlineLevel="1">
      <c r="A95" s="2900" t="s">
        <v>218</v>
      </c>
      <c r="B95" s="2877">
        <v>5171</v>
      </c>
      <c r="C95" s="2984" t="s">
        <v>1728</v>
      </c>
      <c r="D95" s="2990">
        <v>60000</v>
      </c>
      <c r="E95" s="2990">
        <v>60000</v>
      </c>
      <c r="F95" s="2990">
        <v>60000</v>
      </c>
      <c r="G95" s="2990">
        <v>60000</v>
      </c>
      <c r="H95" s="2990">
        <v>60000</v>
      </c>
      <c r="I95" s="2990">
        <v>60000</v>
      </c>
      <c r="J95" s="2990">
        <v>60000</v>
      </c>
      <c r="K95" s="2873">
        <f>+'[3]MŠ Cukrovar'!$B$15</f>
        <v>60000</v>
      </c>
      <c r="L95" s="2828">
        <f t="shared" si="11"/>
        <v>0</v>
      </c>
      <c r="M95" s="2850"/>
      <c r="N95" s="2857"/>
      <c r="O95" s="2160"/>
    </row>
    <row r="96" spans="1:15" ht="20.25" customHeight="1" outlineLevel="1">
      <c r="A96" s="2900" t="s">
        <v>650</v>
      </c>
      <c r="B96" s="2877">
        <v>5172</v>
      </c>
      <c r="C96" s="2984" t="s">
        <v>1729</v>
      </c>
      <c r="D96" s="2990">
        <v>100000</v>
      </c>
      <c r="E96" s="2990">
        <v>100000</v>
      </c>
      <c r="F96" s="2990">
        <v>100000</v>
      </c>
      <c r="G96" s="2990">
        <v>100000</v>
      </c>
      <c r="H96" s="2990">
        <v>100000</v>
      </c>
      <c r="I96" s="2990">
        <v>100000</v>
      </c>
      <c r="J96" s="2990">
        <v>100000</v>
      </c>
      <c r="K96" s="2873">
        <f>+'[3]MŠ Cukrovar'!$B$16</f>
        <v>45000</v>
      </c>
      <c r="L96" s="2828">
        <f t="shared" si="11"/>
        <v>-55000</v>
      </c>
      <c r="M96" s="2850"/>
      <c r="N96" s="2857"/>
      <c r="O96" s="2160"/>
    </row>
    <row r="97" spans="1:15" ht="12.4" thickBot="1">
      <c r="A97" s="3298" t="s">
        <v>1561</v>
      </c>
      <c r="B97" s="3299"/>
      <c r="C97" s="2981"/>
      <c r="D97" s="2987">
        <v>290000</v>
      </c>
      <c r="E97" s="2987">
        <v>290000</v>
      </c>
      <c r="F97" s="2987">
        <v>290000</v>
      </c>
      <c r="G97" s="2987">
        <v>290000</v>
      </c>
      <c r="H97" s="2987">
        <v>290000</v>
      </c>
      <c r="I97" s="2987">
        <v>290000</v>
      </c>
      <c r="J97" s="2987">
        <v>290000</v>
      </c>
      <c r="K97" s="2854">
        <f t="shared" ref="K97" si="17">SUM(K93:K96)</f>
        <v>235000</v>
      </c>
      <c r="L97" s="2855">
        <f t="shared" si="11"/>
        <v>-55000</v>
      </c>
      <c r="M97" s="2856">
        <f>'Výdaje kapitol celkem'!CC35</f>
        <v>235000</v>
      </c>
      <c r="N97" s="2857">
        <f>+M97-K97</f>
        <v>0</v>
      </c>
      <c r="O97" s="2160"/>
    </row>
    <row r="98" spans="1:15" ht="20.25" customHeight="1" outlineLevel="1">
      <c r="A98" s="2901" t="s">
        <v>194</v>
      </c>
      <c r="B98" s="2878">
        <v>5171</v>
      </c>
      <c r="C98" s="2983" t="s">
        <v>2197</v>
      </c>
      <c r="D98" s="2989">
        <v>2500000</v>
      </c>
      <c r="E98" s="2989">
        <v>2500000</v>
      </c>
      <c r="F98" s="2989">
        <v>2500000</v>
      </c>
      <c r="G98" s="2989">
        <v>2500000</v>
      </c>
      <c r="H98" s="2989">
        <v>1500000</v>
      </c>
      <c r="I98" s="2989">
        <v>1500000</v>
      </c>
      <c r="J98" s="2989">
        <v>1500000</v>
      </c>
      <c r="K98" s="2831">
        <f>+'[3]Jídelna ZŠ'!$B$12</f>
        <v>1160000</v>
      </c>
      <c r="L98" s="2822">
        <f t="shared" si="11"/>
        <v>-340000</v>
      </c>
      <c r="M98" s="2850"/>
      <c r="N98" s="2857"/>
      <c r="O98" s="2160"/>
    </row>
    <row r="99" spans="1:15" ht="20.25" customHeight="1" outlineLevel="1">
      <c r="A99" s="2900" t="s">
        <v>194</v>
      </c>
      <c r="B99" s="2877">
        <v>5171</v>
      </c>
      <c r="C99" s="2984"/>
      <c r="D99" s="2990">
        <v>0</v>
      </c>
      <c r="E99" s="2990">
        <v>0</v>
      </c>
      <c r="F99" s="2990">
        <v>0</v>
      </c>
      <c r="G99" s="2990">
        <v>0</v>
      </c>
      <c r="H99" s="2990">
        <v>0</v>
      </c>
      <c r="I99" s="2990">
        <v>0</v>
      </c>
      <c r="J99" s="2990">
        <v>0</v>
      </c>
      <c r="K99" s="2873">
        <f>+'[3]Jídelna ZŠ'!$B$13</f>
        <v>0</v>
      </c>
      <c r="L99" s="2870">
        <f t="shared" si="11"/>
        <v>0</v>
      </c>
      <c r="M99" s="2850"/>
      <c r="N99" s="2857"/>
      <c r="O99" s="2160"/>
    </row>
    <row r="100" spans="1:15" ht="20.25" customHeight="1" thickBot="1">
      <c r="A100" s="3298" t="s">
        <v>209</v>
      </c>
      <c r="B100" s="3299"/>
      <c r="C100" s="2981"/>
      <c r="D100" s="2987">
        <v>2500000</v>
      </c>
      <c r="E100" s="2987">
        <v>2500000</v>
      </c>
      <c r="F100" s="2987">
        <v>2500000</v>
      </c>
      <c r="G100" s="2987">
        <v>2500000</v>
      </c>
      <c r="H100" s="2987">
        <v>1500000</v>
      </c>
      <c r="I100" s="2987">
        <v>1500000</v>
      </c>
      <c r="J100" s="2987">
        <v>1500000</v>
      </c>
      <c r="K100" s="2854">
        <f>SUM(K98:K99)</f>
        <v>1160000</v>
      </c>
      <c r="L100" s="2855">
        <f t="shared" si="11"/>
        <v>-340000</v>
      </c>
      <c r="M100" s="2856">
        <f>'Výdaje kapitol celkem'!BY35</f>
        <v>1160000</v>
      </c>
      <c r="N100" s="2857">
        <f>+M100-K100</f>
        <v>0</v>
      </c>
      <c r="O100" s="2160"/>
    </row>
    <row r="101" spans="1:15" ht="20.25" customHeight="1" outlineLevel="1">
      <c r="A101" s="2901" t="s">
        <v>195</v>
      </c>
      <c r="B101" s="2878">
        <v>5171</v>
      </c>
      <c r="C101" s="2983" t="s">
        <v>1731</v>
      </c>
      <c r="D101" s="2989">
        <v>50000</v>
      </c>
      <c r="E101" s="2989">
        <v>50000</v>
      </c>
      <c r="F101" s="2989">
        <v>50000</v>
      </c>
      <c r="G101" s="2989">
        <v>50000</v>
      </c>
      <c r="H101" s="2989">
        <v>50000</v>
      </c>
      <c r="I101" s="2989">
        <v>50000</v>
      </c>
      <c r="J101" s="2989">
        <v>50000</v>
      </c>
      <c r="K101" s="2831">
        <f>+'[3]Jídelna MŠ'!$B$12</f>
        <v>50000</v>
      </c>
      <c r="L101" s="2822">
        <f t="shared" si="11"/>
        <v>0</v>
      </c>
      <c r="M101" s="2850"/>
      <c r="N101" s="2857"/>
      <c r="O101" s="2160"/>
    </row>
    <row r="102" spans="1:15" ht="16.5" customHeight="1" outlineLevel="1">
      <c r="A102" s="2900" t="s">
        <v>195</v>
      </c>
      <c r="B102" s="2877">
        <v>5171</v>
      </c>
      <c r="C102" s="2984"/>
      <c r="D102" s="2990">
        <v>0</v>
      </c>
      <c r="E102" s="2990">
        <v>0</v>
      </c>
      <c r="F102" s="2990">
        <v>0</v>
      </c>
      <c r="G102" s="2990">
        <v>0</v>
      </c>
      <c r="H102" s="2990">
        <v>0</v>
      </c>
      <c r="I102" s="2990">
        <v>0</v>
      </c>
      <c r="J102" s="2990">
        <v>0</v>
      </c>
      <c r="K102" s="2873">
        <f>+'[3]Jídelna MŠ'!$B$13</f>
        <v>0</v>
      </c>
      <c r="L102" s="2863">
        <f t="shared" si="11"/>
        <v>0</v>
      </c>
      <c r="M102" s="2850"/>
      <c r="N102" s="2857"/>
      <c r="O102" s="2160"/>
    </row>
    <row r="103" spans="1:15" ht="20.25" customHeight="1" thickBot="1">
      <c r="A103" s="3298" t="s">
        <v>210</v>
      </c>
      <c r="B103" s="3299"/>
      <c r="C103" s="2981"/>
      <c r="D103" s="2987">
        <v>50000</v>
      </c>
      <c r="E103" s="2987">
        <v>50000</v>
      </c>
      <c r="F103" s="2987">
        <v>50000</v>
      </c>
      <c r="G103" s="2987">
        <v>50000</v>
      </c>
      <c r="H103" s="2987">
        <v>50000</v>
      </c>
      <c r="I103" s="2987">
        <v>50000</v>
      </c>
      <c r="J103" s="2987">
        <v>50000</v>
      </c>
      <c r="K103" s="2854">
        <f>SUM(K101:K102)</f>
        <v>50000</v>
      </c>
      <c r="L103" s="2855">
        <f t="shared" si="11"/>
        <v>0</v>
      </c>
      <c r="M103" s="2856">
        <f>'Výdaje kapitol celkem'!CB35</f>
        <v>50000</v>
      </c>
      <c r="N103" s="2857">
        <f>+M103-K103</f>
        <v>0</v>
      </c>
      <c r="O103" s="2160"/>
    </row>
    <row r="104" spans="1:15" ht="20.25" customHeight="1" outlineLevel="1">
      <c r="A104" s="2897">
        <v>3631</v>
      </c>
      <c r="B104" s="2814">
        <v>5171</v>
      </c>
      <c r="C104" s="2979" t="s">
        <v>2563</v>
      </c>
      <c r="D104" s="2985">
        <v>350000</v>
      </c>
      <c r="E104" s="2985">
        <v>350000</v>
      </c>
      <c r="F104" s="2985">
        <v>350000</v>
      </c>
      <c r="G104" s="2985">
        <v>350000</v>
      </c>
      <c r="H104" s="2985">
        <v>350000</v>
      </c>
      <c r="I104" s="2985">
        <v>350000</v>
      </c>
      <c r="J104" s="2985">
        <v>350000</v>
      </c>
      <c r="K104" s="2816">
        <f>+[3]VO!$B$30</f>
        <v>350000</v>
      </c>
      <c r="L104" s="2817">
        <f t="shared" si="11"/>
        <v>0</v>
      </c>
      <c r="M104" s="2856"/>
      <c r="N104" s="2857"/>
      <c r="O104" s="2160"/>
    </row>
    <row r="105" spans="1:15" ht="20.25" customHeight="1" outlineLevel="1">
      <c r="A105" s="2899">
        <v>3631</v>
      </c>
      <c r="B105" s="2866">
        <v>5171</v>
      </c>
      <c r="C105" s="2982" t="s">
        <v>1722</v>
      </c>
      <c r="D105" s="2988">
        <v>100000</v>
      </c>
      <c r="E105" s="2988">
        <v>100000</v>
      </c>
      <c r="F105" s="2988">
        <v>200000</v>
      </c>
      <c r="G105" s="2988">
        <v>200000</v>
      </c>
      <c r="H105" s="2988">
        <v>200000</v>
      </c>
      <c r="I105" s="2988">
        <v>200000</v>
      </c>
      <c r="J105" s="2988">
        <v>200000</v>
      </c>
      <c r="K105" s="2829">
        <f>+[3]VO!$B$31</f>
        <v>200000</v>
      </c>
      <c r="L105" s="2870">
        <f t="shared" si="11"/>
        <v>0</v>
      </c>
      <c r="M105" s="2856"/>
      <c r="N105" s="2857"/>
      <c r="O105" s="2160"/>
    </row>
    <row r="106" spans="1:15" ht="20.25" customHeight="1" outlineLevel="1">
      <c r="A106" s="2899">
        <v>3631</v>
      </c>
      <c r="B106" s="2866">
        <v>5171</v>
      </c>
      <c r="C106" s="2983" t="s">
        <v>2564</v>
      </c>
      <c r="D106" s="2989">
        <v>100000</v>
      </c>
      <c r="E106" s="2989">
        <v>100000</v>
      </c>
      <c r="F106" s="2989">
        <v>100000</v>
      </c>
      <c r="G106" s="2989">
        <v>100000</v>
      </c>
      <c r="H106" s="2989">
        <v>100000</v>
      </c>
      <c r="I106" s="2989">
        <v>100000</v>
      </c>
      <c r="J106" s="2989">
        <v>100000</v>
      </c>
      <c r="K106" s="2831">
        <f>+[3]VO!$B$32</f>
        <v>100000</v>
      </c>
      <c r="L106" s="2822">
        <f t="shared" si="11"/>
        <v>0</v>
      </c>
      <c r="M106" s="2856"/>
      <c r="N106" s="2857"/>
      <c r="O106" s="2160"/>
    </row>
    <row r="107" spans="1:15" ht="20.25" hidden="1" customHeight="1" outlineLevel="1">
      <c r="A107" s="2901">
        <v>3631</v>
      </c>
      <c r="B107" s="2877">
        <v>5171</v>
      </c>
      <c r="C107" s="2984"/>
      <c r="D107" s="2990"/>
      <c r="E107" s="2990"/>
      <c r="F107" s="2990"/>
      <c r="G107" s="2990"/>
      <c r="H107" s="2990"/>
      <c r="I107" s="2990"/>
      <c r="J107" s="2990"/>
      <c r="K107" s="2873"/>
      <c r="L107" s="2870">
        <f t="shared" si="11"/>
        <v>0</v>
      </c>
      <c r="M107" s="2856"/>
      <c r="N107" s="2857"/>
      <c r="O107" s="2160"/>
    </row>
    <row r="108" spans="1:15" ht="12.4" thickBot="1">
      <c r="A108" s="3298" t="s">
        <v>630</v>
      </c>
      <c r="B108" s="3299"/>
      <c r="C108" s="2981"/>
      <c r="D108" s="2987">
        <v>550000</v>
      </c>
      <c r="E108" s="2987">
        <v>550000</v>
      </c>
      <c r="F108" s="2987">
        <v>650000</v>
      </c>
      <c r="G108" s="2987">
        <v>650000</v>
      </c>
      <c r="H108" s="2987">
        <v>650000</v>
      </c>
      <c r="I108" s="2987">
        <v>650000</v>
      </c>
      <c r="J108" s="2987">
        <v>650000</v>
      </c>
      <c r="K108" s="2854">
        <f t="shared" ref="K108" si="18">SUM(K104:K107)</f>
        <v>650000</v>
      </c>
      <c r="L108" s="2855">
        <f t="shared" si="11"/>
        <v>0</v>
      </c>
      <c r="M108" s="2856">
        <f>'Výdaje kapitol celkem'!CG35</f>
        <v>650000</v>
      </c>
      <c r="N108" s="2857">
        <f>+M108-K108</f>
        <v>0</v>
      </c>
      <c r="O108" s="2160"/>
    </row>
    <row r="109" spans="1:15" ht="16.5" customHeight="1" outlineLevel="1">
      <c r="A109" s="2900">
        <v>2212</v>
      </c>
      <c r="B109" s="2877">
        <v>5171</v>
      </c>
      <c r="C109" s="2984" t="s">
        <v>2696</v>
      </c>
      <c r="D109" s="2990">
        <v>300000</v>
      </c>
      <c r="E109" s="2990">
        <v>600000</v>
      </c>
      <c r="F109" s="2990">
        <v>600000</v>
      </c>
      <c r="G109" s="2990">
        <v>600000</v>
      </c>
      <c r="H109" s="2990">
        <v>600000</v>
      </c>
      <c r="I109" s="2990">
        <v>600000</v>
      </c>
      <c r="J109" s="2990">
        <v>600000</v>
      </c>
      <c r="K109" s="2873">
        <f>+[3]Silnice!$B$40</f>
        <v>600000</v>
      </c>
      <c r="L109" s="2870">
        <f t="shared" si="11"/>
        <v>0</v>
      </c>
      <c r="M109" s="2850"/>
      <c r="N109" s="2857"/>
      <c r="O109" s="2160"/>
    </row>
    <row r="110" spans="1:15" ht="14.25" customHeight="1" outlineLevel="1">
      <c r="A110" s="2900">
        <v>2212</v>
      </c>
      <c r="B110" s="2877">
        <v>5171</v>
      </c>
      <c r="C110" s="2984" t="s">
        <v>2697</v>
      </c>
      <c r="D110" s="2990">
        <v>500000</v>
      </c>
      <c r="E110" s="2990">
        <v>500000</v>
      </c>
      <c r="F110" s="2990">
        <v>500000</v>
      </c>
      <c r="G110" s="2990">
        <v>500000</v>
      </c>
      <c r="H110" s="2990">
        <v>500000</v>
      </c>
      <c r="I110" s="2990">
        <v>500000</v>
      </c>
      <c r="J110" s="2990">
        <v>500000</v>
      </c>
      <c r="K110" s="2873">
        <f>+[3]Silnice!$B$41</f>
        <v>500000</v>
      </c>
      <c r="L110" s="2870">
        <f t="shared" si="11"/>
        <v>0</v>
      </c>
      <c r="M110" s="2850"/>
      <c r="N110" s="2857"/>
      <c r="O110" s="2160"/>
    </row>
    <row r="111" spans="1:15" ht="22.5" customHeight="1" outlineLevel="1">
      <c r="A111" s="2900">
        <v>2212</v>
      </c>
      <c r="B111" s="2877">
        <v>5171</v>
      </c>
      <c r="C111" s="2984" t="s">
        <v>1711</v>
      </c>
      <c r="D111" s="2990">
        <v>500000</v>
      </c>
      <c r="E111" s="2990">
        <v>500000</v>
      </c>
      <c r="F111" s="2990">
        <v>500000</v>
      </c>
      <c r="G111" s="2990">
        <v>500000</v>
      </c>
      <c r="H111" s="2990">
        <v>500000</v>
      </c>
      <c r="I111" s="2990">
        <v>500000</v>
      </c>
      <c r="J111" s="2990">
        <v>500000</v>
      </c>
      <c r="K111" s="2873">
        <f>+[3]Silnice!$B$42</f>
        <v>500000</v>
      </c>
      <c r="L111" s="2870">
        <f t="shared" si="11"/>
        <v>0</v>
      </c>
      <c r="M111" s="2850"/>
      <c r="N111" s="2857"/>
      <c r="O111" s="2160"/>
    </row>
    <row r="112" spans="1:15" ht="20.25" customHeight="1" outlineLevel="1">
      <c r="A112" s="2900">
        <v>2212</v>
      </c>
      <c r="B112" s="2877">
        <v>5171</v>
      </c>
      <c r="C112" s="2984" t="s">
        <v>1712</v>
      </c>
      <c r="D112" s="2990">
        <v>650000</v>
      </c>
      <c r="E112" s="2990">
        <v>650000</v>
      </c>
      <c r="F112" s="2990">
        <v>650000</v>
      </c>
      <c r="G112" s="2990">
        <v>650000</v>
      </c>
      <c r="H112" s="2990">
        <v>650000</v>
      </c>
      <c r="I112" s="2990">
        <v>650000</v>
      </c>
      <c r="J112" s="2990">
        <v>650000</v>
      </c>
      <c r="K112" s="2873">
        <f>+[3]Silnice!$B$43</f>
        <v>650000</v>
      </c>
      <c r="L112" s="2870">
        <f t="shared" si="11"/>
        <v>0</v>
      </c>
      <c r="M112" s="2850"/>
      <c r="N112" s="2857"/>
      <c r="O112" s="2160"/>
    </row>
    <row r="113" spans="1:15" ht="26.25" customHeight="1" outlineLevel="1">
      <c r="A113" s="2900">
        <v>2212</v>
      </c>
      <c r="B113" s="2877">
        <v>5171</v>
      </c>
      <c r="C113" s="2984" t="s">
        <v>1713</v>
      </c>
      <c r="D113" s="2990">
        <v>500000</v>
      </c>
      <c r="E113" s="2990">
        <v>500000</v>
      </c>
      <c r="F113" s="2990">
        <v>500000</v>
      </c>
      <c r="G113" s="2990">
        <v>500000</v>
      </c>
      <c r="H113" s="2990">
        <v>500000</v>
      </c>
      <c r="I113" s="2990">
        <v>500000</v>
      </c>
      <c r="J113" s="2990">
        <v>500000</v>
      </c>
      <c r="K113" s="2873">
        <f>+[3]Silnice!$B$44</f>
        <v>500000</v>
      </c>
      <c r="L113" s="2870">
        <f t="shared" si="11"/>
        <v>0</v>
      </c>
      <c r="M113" s="2850"/>
      <c r="N113" s="2857"/>
      <c r="O113" s="2160"/>
    </row>
    <row r="114" spans="1:15" ht="20.25" customHeight="1" outlineLevel="1">
      <c r="A114" s="2900">
        <v>2212</v>
      </c>
      <c r="B114" s="2877">
        <v>5171</v>
      </c>
      <c r="C114" s="2984" t="s">
        <v>2319</v>
      </c>
      <c r="D114" s="2990">
        <v>100000</v>
      </c>
      <c r="E114" s="2990">
        <v>100000</v>
      </c>
      <c r="F114" s="2990">
        <v>100000</v>
      </c>
      <c r="G114" s="2990">
        <v>100000</v>
      </c>
      <c r="H114" s="2990">
        <v>100000</v>
      </c>
      <c r="I114" s="2990">
        <v>100000</v>
      </c>
      <c r="J114" s="2990">
        <v>100000</v>
      </c>
      <c r="K114" s="2873">
        <f>+[3]Silnice!$B$45</f>
        <v>100000</v>
      </c>
      <c r="L114" s="2870">
        <f t="shared" si="11"/>
        <v>0</v>
      </c>
      <c r="M114" s="2850"/>
      <c r="N114" s="2857"/>
      <c r="O114" s="2160"/>
    </row>
    <row r="115" spans="1:15" s="2889" customFormat="1" ht="20.25" customHeight="1" outlineLevel="1">
      <c r="A115" s="3059">
        <v>2212</v>
      </c>
      <c r="B115" s="3060">
        <v>5171</v>
      </c>
      <c r="C115" s="3058" t="s">
        <v>3006</v>
      </c>
      <c r="D115" s="3061"/>
      <c r="E115" s="3061"/>
      <c r="F115" s="3061"/>
      <c r="G115" s="3061"/>
      <c r="H115" s="3061">
        <v>895400</v>
      </c>
      <c r="I115" s="3061">
        <v>895400</v>
      </c>
      <c r="J115" s="3061">
        <v>895400</v>
      </c>
      <c r="K115" s="2880">
        <f>+[3]Silnice!$B$46</f>
        <v>895400</v>
      </c>
      <c r="L115" s="2870">
        <f t="shared" si="11"/>
        <v>0</v>
      </c>
      <c r="M115" s="2888"/>
      <c r="N115" s="2857"/>
      <c r="O115" s="3062"/>
    </row>
    <row r="116" spans="1:15" ht="20.25" hidden="1" customHeight="1" outlineLevel="1">
      <c r="A116" s="2900">
        <v>2212</v>
      </c>
      <c r="B116" s="2877">
        <v>5171</v>
      </c>
      <c r="C116" s="2984" t="s">
        <v>1714</v>
      </c>
      <c r="D116" s="2990"/>
      <c r="E116" s="2990"/>
      <c r="F116" s="2990"/>
      <c r="G116" s="2990"/>
      <c r="H116" s="2990">
        <v>0</v>
      </c>
      <c r="I116" s="2990">
        <v>0</v>
      </c>
      <c r="J116" s="2990">
        <v>0</v>
      </c>
      <c r="K116" s="2873">
        <f>+[3]Silnice!$B$47</f>
        <v>0</v>
      </c>
      <c r="L116" s="2870">
        <f t="shared" si="11"/>
        <v>0</v>
      </c>
      <c r="M116" s="2850"/>
      <c r="N116" s="2857"/>
      <c r="O116" s="2160"/>
    </row>
    <row r="117" spans="1:15" s="2889" customFormat="1" ht="20.25" customHeight="1" outlineLevel="1">
      <c r="A117" s="3059">
        <v>2212</v>
      </c>
      <c r="B117" s="3060">
        <v>5171</v>
      </c>
      <c r="C117" s="3058" t="s">
        <v>2819</v>
      </c>
      <c r="D117" s="3061">
        <v>0</v>
      </c>
      <c r="E117" s="3061">
        <v>0</v>
      </c>
      <c r="F117" s="3061">
        <v>0</v>
      </c>
      <c r="G117" s="3061">
        <v>0</v>
      </c>
      <c r="H117" s="3061">
        <v>822800</v>
      </c>
      <c r="I117" s="3061">
        <v>822800</v>
      </c>
      <c r="J117" s="3061">
        <v>822800</v>
      </c>
      <c r="K117" s="2880">
        <f>+[3]Silnice!$B$48</f>
        <v>822800</v>
      </c>
      <c r="L117" s="2870">
        <f t="shared" si="11"/>
        <v>0</v>
      </c>
      <c r="M117" s="2888"/>
      <c r="N117" s="2857"/>
      <c r="O117" s="3062"/>
    </row>
    <row r="118" spans="1:15" ht="20.25" customHeight="1" outlineLevel="1">
      <c r="A118" s="2900">
        <v>2212</v>
      </c>
      <c r="B118" s="2877">
        <v>5171</v>
      </c>
      <c r="C118" s="2984" t="s">
        <v>2809</v>
      </c>
      <c r="D118" s="2990">
        <v>0</v>
      </c>
      <c r="E118" s="2990">
        <v>0</v>
      </c>
      <c r="F118" s="2990">
        <v>0</v>
      </c>
      <c r="G118" s="2990">
        <v>1000000</v>
      </c>
      <c r="H118" s="2990">
        <v>1000000</v>
      </c>
      <c r="I118" s="2990">
        <v>1000000</v>
      </c>
      <c r="J118" s="2990">
        <v>0</v>
      </c>
      <c r="K118" s="2873">
        <f>+[3]Silnice!$B$49</f>
        <v>0</v>
      </c>
      <c r="L118" s="2870">
        <f t="shared" si="11"/>
        <v>0</v>
      </c>
      <c r="M118" s="2850"/>
      <c r="N118" s="2857"/>
      <c r="O118" s="2160"/>
    </row>
    <row r="119" spans="1:15" ht="20.25" hidden="1" customHeight="1" outlineLevel="1">
      <c r="A119" s="2900">
        <v>2212</v>
      </c>
      <c r="B119" s="2877">
        <v>5171</v>
      </c>
      <c r="C119" s="2984" t="s">
        <v>2204</v>
      </c>
      <c r="D119" s="2990">
        <v>0</v>
      </c>
      <c r="E119" s="2990">
        <v>0</v>
      </c>
      <c r="F119" s="2990">
        <v>0</v>
      </c>
      <c r="G119" s="2990">
        <v>0</v>
      </c>
      <c r="H119" s="2990"/>
      <c r="I119" s="2990"/>
      <c r="J119" s="2990"/>
      <c r="K119" s="2873"/>
      <c r="L119" s="2870">
        <f t="shared" si="11"/>
        <v>0</v>
      </c>
      <c r="M119" s="2850"/>
      <c r="N119" s="2857"/>
      <c r="O119" s="2160"/>
    </row>
    <row r="120" spans="1:15" ht="20.25" hidden="1" customHeight="1" outlineLevel="1">
      <c r="A120" s="2900">
        <v>2212</v>
      </c>
      <c r="B120" s="2877">
        <v>5171</v>
      </c>
      <c r="C120" s="2984" t="s">
        <v>2320</v>
      </c>
      <c r="D120" s="2990">
        <v>1000000</v>
      </c>
      <c r="E120" s="2990">
        <v>1000000</v>
      </c>
      <c r="F120" s="2990">
        <v>1000000</v>
      </c>
      <c r="G120" s="2990"/>
      <c r="H120" s="2990"/>
      <c r="I120" s="2990"/>
      <c r="J120" s="2990"/>
      <c r="K120" s="2873"/>
      <c r="L120" s="2870">
        <f t="shared" si="11"/>
        <v>0</v>
      </c>
      <c r="M120" s="2850"/>
      <c r="N120" s="2857"/>
      <c r="O120" s="2160"/>
    </row>
    <row r="121" spans="1:15" ht="19.5" customHeight="1" outlineLevel="1">
      <c r="A121" s="2900">
        <v>2212</v>
      </c>
      <c r="B121" s="2877">
        <v>5171</v>
      </c>
      <c r="C121" s="2984" t="s">
        <v>2321</v>
      </c>
      <c r="D121" s="2990">
        <v>1000000</v>
      </c>
      <c r="E121" s="2990">
        <v>1000000</v>
      </c>
      <c r="F121" s="2990">
        <v>1000000</v>
      </c>
      <c r="G121" s="2990">
        <v>1000000</v>
      </c>
      <c r="H121" s="2990">
        <v>1000000</v>
      </c>
      <c r="I121" s="2990">
        <v>1000000</v>
      </c>
      <c r="J121" s="2990">
        <v>0</v>
      </c>
      <c r="K121" s="2873">
        <f>+[3]Silnice!$B$50</f>
        <v>0</v>
      </c>
      <c r="L121" s="2870">
        <f t="shared" si="11"/>
        <v>0</v>
      </c>
      <c r="M121" s="2850"/>
      <c r="N121" s="2857"/>
      <c r="O121" s="2160"/>
    </row>
    <row r="122" spans="1:15" ht="25.5" customHeight="1" outlineLevel="1">
      <c r="A122" s="2900">
        <v>2212</v>
      </c>
      <c r="B122" s="2877">
        <v>5171</v>
      </c>
      <c r="C122" s="2984" t="s">
        <v>1715</v>
      </c>
      <c r="D122" s="2990">
        <v>150000</v>
      </c>
      <c r="E122" s="2990">
        <v>150000</v>
      </c>
      <c r="F122" s="2990">
        <v>150000</v>
      </c>
      <c r="G122" s="2990">
        <v>150000</v>
      </c>
      <c r="H122" s="2990">
        <v>150000</v>
      </c>
      <c r="I122" s="2990">
        <v>150000</v>
      </c>
      <c r="J122" s="2990">
        <v>150000</v>
      </c>
      <c r="K122" s="2873">
        <f>+[3]Silnice!$B$51</f>
        <v>150000</v>
      </c>
      <c r="L122" s="2870">
        <f t="shared" si="11"/>
        <v>0</v>
      </c>
      <c r="M122" s="2850"/>
      <c r="N122" s="2857"/>
      <c r="O122" s="2160"/>
    </row>
    <row r="123" spans="1:15" ht="20.25" customHeight="1" outlineLevel="1">
      <c r="A123" s="2900">
        <v>2212</v>
      </c>
      <c r="B123" s="2877">
        <v>5171</v>
      </c>
      <c r="C123" s="2984" t="s">
        <v>1716</v>
      </c>
      <c r="D123" s="2990">
        <v>430000</v>
      </c>
      <c r="E123" s="2990">
        <v>430000</v>
      </c>
      <c r="F123" s="2990">
        <v>430000</v>
      </c>
      <c r="G123" s="2990">
        <v>430000</v>
      </c>
      <c r="H123" s="2990">
        <v>0</v>
      </c>
      <c r="I123" s="2990">
        <v>0</v>
      </c>
      <c r="J123" s="2990">
        <v>0</v>
      </c>
      <c r="K123" s="2873">
        <f>+[3]Silnice!$B$52</f>
        <v>0</v>
      </c>
      <c r="L123" s="2870">
        <f t="shared" si="11"/>
        <v>0</v>
      </c>
      <c r="M123" s="2850"/>
      <c r="N123" s="2857"/>
      <c r="O123" s="2160"/>
    </row>
    <row r="124" spans="1:15" s="2889" customFormat="1" ht="20.25" hidden="1" customHeight="1" outlineLevel="1">
      <c r="A124" s="3059">
        <v>2212</v>
      </c>
      <c r="B124" s="3060">
        <v>5171</v>
      </c>
      <c r="C124" s="3058" t="s">
        <v>2818</v>
      </c>
      <c r="D124" s="3061"/>
      <c r="E124" s="3061"/>
      <c r="F124" s="3061"/>
      <c r="G124" s="3061"/>
      <c r="H124" s="3061">
        <v>0</v>
      </c>
      <c r="I124" s="3061">
        <v>0</v>
      </c>
      <c r="J124" s="3061">
        <v>0</v>
      </c>
      <c r="K124" s="2880">
        <f>+[3]Silnice!$B$53</f>
        <v>0</v>
      </c>
      <c r="L124" s="2870">
        <f t="shared" si="11"/>
        <v>0</v>
      </c>
      <c r="M124" s="2888"/>
      <c r="N124" s="2857"/>
      <c r="O124" s="3062"/>
    </row>
    <row r="125" spans="1:15" ht="20.25" hidden="1" customHeight="1" outlineLevel="1">
      <c r="A125" s="2900">
        <v>2212</v>
      </c>
      <c r="B125" s="2877">
        <v>5171</v>
      </c>
      <c r="C125" s="2984"/>
      <c r="D125" s="2990">
        <v>0</v>
      </c>
      <c r="E125" s="2990">
        <v>0</v>
      </c>
      <c r="F125" s="2990">
        <v>0</v>
      </c>
      <c r="G125" s="2990">
        <v>0</v>
      </c>
      <c r="H125" s="2990"/>
      <c r="I125" s="2990"/>
      <c r="J125" s="2990"/>
      <c r="K125" s="2873"/>
      <c r="L125" s="2870">
        <f t="shared" si="11"/>
        <v>0</v>
      </c>
      <c r="M125" s="2850"/>
      <c r="N125" s="2857"/>
      <c r="O125" s="2160"/>
    </row>
    <row r="126" spans="1:15" ht="20.25" customHeight="1" outlineLevel="1">
      <c r="A126" s="2900">
        <v>2212</v>
      </c>
      <c r="B126" s="2877">
        <v>5171</v>
      </c>
      <c r="C126" s="2984" t="s">
        <v>1717</v>
      </c>
      <c r="D126" s="2990">
        <v>711480</v>
      </c>
      <c r="E126" s="2990">
        <v>300000</v>
      </c>
      <c r="F126" s="2990">
        <v>300000</v>
      </c>
      <c r="G126" s="2990">
        <v>300000</v>
      </c>
      <c r="H126" s="2990">
        <v>300000</v>
      </c>
      <c r="I126" s="2990">
        <v>300000</v>
      </c>
      <c r="J126" s="2990">
        <v>300000</v>
      </c>
      <c r="K126" s="2873">
        <f>+[3]Silnice!$B$54</f>
        <v>300000</v>
      </c>
      <c r="L126" s="2870">
        <f t="shared" si="11"/>
        <v>0</v>
      </c>
      <c r="M126" s="2850"/>
      <c r="N126" s="2857"/>
      <c r="O126" s="2160"/>
    </row>
    <row r="127" spans="1:15" ht="20.25" customHeight="1" outlineLevel="1">
      <c r="A127" s="2900">
        <v>2212</v>
      </c>
      <c r="B127" s="2877">
        <v>5171</v>
      </c>
      <c r="C127" s="2984" t="s">
        <v>2640</v>
      </c>
      <c r="D127" s="2990">
        <v>2100000</v>
      </c>
      <c r="E127" s="2990">
        <v>4100000</v>
      </c>
      <c r="F127" s="2990">
        <v>4100000</v>
      </c>
      <c r="G127" s="2990">
        <v>4100000</v>
      </c>
      <c r="H127" s="2990">
        <v>0</v>
      </c>
      <c r="I127" s="2990">
        <v>0</v>
      </c>
      <c r="J127" s="2990">
        <v>0</v>
      </c>
      <c r="K127" s="2873">
        <f>+[3]Silnice!$B$55</f>
        <v>0</v>
      </c>
      <c r="L127" s="2870">
        <f t="shared" si="11"/>
        <v>0</v>
      </c>
      <c r="M127" s="2850"/>
      <c r="N127" s="2857"/>
      <c r="O127" s="2160"/>
    </row>
    <row r="128" spans="1:15" s="2889" customFormat="1" ht="20.25" customHeight="1" outlineLevel="1">
      <c r="A128" s="3059">
        <v>2212</v>
      </c>
      <c r="B128" s="3060">
        <v>5171</v>
      </c>
      <c r="C128" s="3058" t="s">
        <v>2816</v>
      </c>
      <c r="D128" s="3061"/>
      <c r="E128" s="3061"/>
      <c r="F128" s="3061"/>
      <c r="G128" s="3061"/>
      <c r="H128" s="3061">
        <v>1900000</v>
      </c>
      <c r="I128" s="3061">
        <v>1900000</v>
      </c>
      <c r="J128" s="3061">
        <v>1370000</v>
      </c>
      <c r="K128" s="2880">
        <f>+[3]Silnice!$B$56</f>
        <v>0</v>
      </c>
      <c r="L128" s="2870">
        <f t="shared" si="11"/>
        <v>-1370000</v>
      </c>
      <c r="M128" s="2888"/>
      <c r="N128" s="2857"/>
      <c r="O128" s="3062"/>
    </row>
    <row r="129" spans="1:15" s="2889" customFormat="1" ht="20.25" customHeight="1" outlineLevel="1">
      <c r="A129" s="3059">
        <v>2212</v>
      </c>
      <c r="B129" s="3060">
        <v>5171</v>
      </c>
      <c r="C129" s="3058" t="s">
        <v>2805</v>
      </c>
      <c r="D129" s="3061"/>
      <c r="E129" s="3061"/>
      <c r="F129" s="3061"/>
      <c r="G129" s="3061"/>
      <c r="H129" s="3061">
        <v>400000</v>
      </c>
      <c r="I129" s="3061">
        <v>400000</v>
      </c>
      <c r="J129" s="3061">
        <v>400000</v>
      </c>
      <c r="K129" s="2880">
        <f>+[3]Silnice!$B$57</f>
        <v>400000</v>
      </c>
      <c r="L129" s="2870">
        <f t="shared" si="11"/>
        <v>0</v>
      </c>
      <c r="M129" s="2888"/>
      <c r="N129" s="2857"/>
      <c r="O129" s="3062"/>
    </row>
    <row r="130" spans="1:15" s="2889" customFormat="1" ht="20.25" customHeight="1" outlineLevel="1">
      <c r="A130" s="3059">
        <v>2212</v>
      </c>
      <c r="B130" s="3060">
        <v>5171</v>
      </c>
      <c r="C130" s="3058" t="s">
        <v>2817</v>
      </c>
      <c r="D130" s="3061"/>
      <c r="E130" s="3061"/>
      <c r="F130" s="3061"/>
      <c r="G130" s="3061"/>
      <c r="H130" s="3061">
        <v>340000</v>
      </c>
      <c r="I130" s="3061">
        <v>340000</v>
      </c>
      <c r="J130" s="3061">
        <v>340000</v>
      </c>
      <c r="K130" s="2880">
        <f>+[3]Silnice!$B$58</f>
        <v>340000</v>
      </c>
      <c r="L130" s="2870">
        <f t="shared" si="11"/>
        <v>0</v>
      </c>
      <c r="M130" s="2888"/>
      <c r="N130" s="2857"/>
      <c r="O130" s="3062"/>
    </row>
    <row r="131" spans="1:15" ht="20.25" customHeight="1" outlineLevel="1">
      <c r="A131" s="2900">
        <v>2212</v>
      </c>
      <c r="B131" s="2877">
        <v>5171</v>
      </c>
      <c r="C131" s="2984" t="s">
        <v>2559</v>
      </c>
      <c r="D131" s="2990">
        <v>500000</v>
      </c>
      <c r="E131" s="2990">
        <v>500000</v>
      </c>
      <c r="F131" s="2990">
        <v>500000</v>
      </c>
      <c r="G131" s="2990">
        <v>500000</v>
      </c>
      <c r="H131" s="2990">
        <v>0</v>
      </c>
      <c r="I131" s="2990">
        <v>0</v>
      </c>
      <c r="J131" s="2990">
        <v>0</v>
      </c>
      <c r="K131" s="2873">
        <f>+[3]Silnice!$B$59</f>
        <v>0</v>
      </c>
      <c r="L131" s="2870">
        <f t="shared" si="11"/>
        <v>0</v>
      </c>
      <c r="M131" s="2850"/>
      <c r="N131" s="2857"/>
      <c r="O131" s="2160"/>
    </row>
    <row r="132" spans="1:15" ht="20.25" customHeight="1" outlineLevel="1">
      <c r="A132" s="2900">
        <v>2212</v>
      </c>
      <c r="B132" s="2877">
        <v>5171</v>
      </c>
      <c r="C132" s="2984" t="s">
        <v>2829</v>
      </c>
      <c r="D132" s="2990">
        <v>1200000</v>
      </c>
      <c r="E132" s="2990">
        <v>1200000</v>
      </c>
      <c r="F132" s="2990">
        <v>1200000</v>
      </c>
      <c r="G132" s="2990">
        <v>1200000</v>
      </c>
      <c r="H132" s="2990">
        <v>3900000</v>
      </c>
      <c r="I132" s="2990">
        <v>3900000</v>
      </c>
      <c r="J132" s="2990">
        <v>3900000</v>
      </c>
      <c r="K132" s="3051">
        <f>+[3]Silnice!$B$60</f>
        <v>1043800</v>
      </c>
      <c r="L132" s="2870">
        <f t="shared" si="11"/>
        <v>-2856200</v>
      </c>
      <c r="M132" s="2856"/>
      <c r="N132" s="2857"/>
      <c r="O132" s="2160"/>
    </row>
    <row r="133" spans="1:15" s="2889" customFormat="1" ht="20.25" customHeight="1" outlineLevel="1">
      <c r="A133" s="3059">
        <v>2212</v>
      </c>
      <c r="B133" s="3060">
        <v>5171</v>
      </c>
      <c r="C133" s="3058" t="s">
        <v>2806</v>
      </c>
      <c r="D133" s="3061"/>
      <c r="E133" s="3061"/>
      <c r="F133" s="3061"/>
      <c r="G133" s="3061"/>
      <c r="H133" s="3061">
        <v>59000</v>
      </c>
      <c r="I133" s="3061">
        <v>59000</v>
      </c>
      <c r="J133" s="3061">
        <v>59000</v>
      </c>
      <c r="K133" s="3063">
        <f>+[3]Silnice!$B$61</f>
        <v>59000</v>
      </c>
      <c r="L133" s="2870">
        <f t="shared" si="11"/>
        <v>0</v>
      </c>
      <c r="M133" s="2849"/>
      <c r="N133" s="2857"/>
      <c r="O133" s="3062"/>
    </row>
    <row r="134" spans="1:15" s="2889" customFormat="1" ht="20.25" customHeight="1" outlineLevel="1">
      <c r="A134" s="3059">
        <v>2212</v>
      </c>
      <c r="B134" s="3060">
        <v>5171</v>
      </c>
      <c r="C134" s="3058" t="s">
        <v>2812</v>
      </c>
      <c r="D134" s="3061"/>
      <c r="E134" s="3061"/>
      <c r="F134" s="3061"/>
      <c r="G134" s="3061"/>
      <c r="H134" s="3061">
        <v>530000</v>
      </c>
      <c r="I134" s="3061">
        <v>530000</v>
      </c>
      <c r="J134" s="3061">
        <v>530000</v>
      </c>
      <c r="K134" s="3063">
        <f>+[3]Silnice!$B$62</f>
        <v>530000</v>
      </c>
      <c r="L134" s="2870">
        <f t="shared" ref="L134:L179" si="19">+K134-J134</f>
        <v>0</v>
      </c>
      <c r="M134" s="2849"/>
      <c r="N134" s="2857"/>
      <c r="O134" s="3062"/>
    </row>
    <row r="135" spans="1:15" s="2889" customFormat="1" ht="20.25" hidden="1" customHeight="1" outlineLevel="1">
      <c r="A135" s="3059">
        <v>2212</v>
      </c>
      <c r="B135" s="3060">
        <v>5171</v>
      </c>
      <c r="C135" s="3058" t="s">
        <v>2813</v>
      </c>
      <c r="D135" s="3061"/>
      <c r="E135" s="3061"/>
      <c r="F135" s="3061"/>
      <c r="G135" s="3061"/>
      <c r="H135" s="3061">
        <v>0</v>
      </c>
      <c r="I135" s="3061">
        <v>0</v>
      </c>
      <c r="J135" s="3061">
        <v>0</v>
      </c>
      <c r="K135" s="3063">
        <f>+[3]Silnice!$B$63</f>
        <v>0</v>
      </c>
      <c r="L135" s="2870">
        <f t="shared" si="19"/>
        <v>0</v>
      </c>
      <c r="M135" s="2849"/>
      <c r="N135" s="2857"/>
      <c r="O135" s="3062"/>
    </row>
    <row r="136" spans="1:15" s="2889" customFormat="1" ht="20.25" hidden="1" customHeight="1" outlineLevel="1">
      <c r="A136" s="3059">
        <v>2212</v>
      </c>
      <c r="B136" s="3060">
        <v>5171</v>
      </c>
      <c r="C136" s="3058" t="s">
        <v>2807</v>
      </c>
      <c r="D136" s="3061"/>
      <c r="E136" s="3061"/>
      <c r="F136" s="3061"/>
      <c r="G136" s="3061"/>
      <c r="H136" s="3061">
        <v>0</v>
      </c>
      <c r="I136" s="3061">
        <v>0</v>
      </c>
      <c r="J136" s="3061">
        <v>0</v>
      </c>
      <c r="K136" s="3063">
        <f>+[3]Silnice!$B$64</f>
        <v>0</v>
      </c>
      <c r="L136" s="2870">
        <f t="shared" si="19"/>
        <v>0</v>
      </c>
      <c r="M136" s="2849"/>
      <c r="N136" s="2857"/>
      <c r="O136" s="3062"/>
    </row>
    <row r="137" spans="1:15" s="2889" customFormat="1" ht="20.25" customHeight="1" outlineLevel="1">
      <c r="A137" s="3059">
        <v>2212</v>
      </c>
      <c r="B137" s="3060">
        <v>5171</v>
      </c>
      <c r="C137" s="3058" t="s">
        <v>2814</v>
      </c>
      <c r="D137" s="3061"/>
      <c r="E137" s="3061"/>
      <c r="F137" s="3061"/>
      <c r="G137" s="3061"/>
      <c r="H137" s="3061">
        <v>1400000</v>
      </c>
      <c r="I137" s="3061">
        <v>1400000</v>
      </c>
      <c r="J137" s="3061">
        <v>1400000</v>
      </c>
      <c r="K137" s="3063">
        <f>+[3]Silnice!$B$65</f>
        <v>1400000</v>
      </c>
      <c r="L137" s="2870">
        <f t="shared" si="19"/>
        <v>0</v>
      </c>
      <c r="M137" s="2849"/>
      <c r="N137" s="2857"/>
      <c r="O137" s="3062"/>
    </row>
    <row r="138" spans="1:15" s="2889" customFormat="1" ht="20.25" customHeight="1" outlineLevel="1">
      <c r="A138" s="3059">
        <v>2212</v>
      </c>
      <c r="B138" s="3060">
        <v>5171</v>
      </c>
      <c r="C138" s="3058" t="s">
        <v>2815</v>
      </c>
      <c r="D138" s="3061"/>
      <c r="E138" s="3061"/>
      <c r="F138" s="3061"/>
      <c r="G138" s="3061"/>
      <c r="H138" s="3061">
        <v>1300000</v>
      </c>
      <c r="I138" s="3061">
        <v>1300000</v>
      </c>
      <c r="J138" s="3061">
        <v>1300000</v>
      </c>
      <c r="K138" s="3063">
        <f>+[3]Silnice!$B$66</f>
        <v>1300000</v>
      </c>
      <c r="L138" s="2870">
        <f t="shared" si="19"/>
        <v>0</v>
      </c>
      <c r="M138" s="2849"/>
      <c r="N138" s="2857"/>
      <c r="O138" s="3062"/>
    </row>
    <row r="139" spans="1:15" s="2889" customFormat="1" ht="20.25" customHeight="1" outlineLevel="1">
      <c r="A139" s="3059">
        <v>2212</v>
      </c>
      <c r="B139" s="3060">
        <v>5171</v>
      </c>
      <c r="C139" s="3058" t="s">
        <v>2808</v>
      </c>
      <c r="D139" s="3061"/>
      <c r="E139" s="3061"/>
      <c r="F139" s="3061"/>
      <c r="G139" s="3061"/>
      <c r="H139" s="3061">
        <v>1089000</v>
      </c>
      <c r="I139" s="3061">
        <v>1089000</v>
      </c>
      <c r="J139" s="3061">
        <v>1089000</v>
      </c>
      <c r="K139" s="3063">
        <f>+[3]Silnice!$B$67</f>
        <v>89000</v>
      </c>
      <c r="L139" s="2870">
        <f t="shared" si="19"/>
        <v>-1000000</v>
      </c>
      <c r="M139" s="2849"/>
      <c r="N139" s="2857"/>
      <c r="O139" s="3062"/>
    </row>
    <row r="140" spans="1:15" ht="20.25" hidden="1" customHeight="1" outlineLevel="1">
      <c r="A140" s="2900">
        <v>2212</v>
      </c>
      <c r="B140" s="2877">
        <v>5171</v>
      </c>
      <c r="C140" s="2984" t="s">
        <v>2641</v>
      </c>
      <c r="D140" s="2990"/>
      <c r="E140" s="2990"/>
      <c r="F140" s="2990"/>
      <c r="G140" s="2990"/>
      <c r="H140" s="2990"/>
      <c r="I140" s="2990"/>
      <c r="J140" s="2990"/>
      <c r="K140" s="3051"/>
      <c r="L140" s="2870">
        <f t="shared" si="19"/>
        <v>0</v>
      </c>
      <c r="M140" s="2856"/>
      <c r="N140" s="2857"/>
      <c r="O140" s="2160"/>
    </row>
    <row r="141" spans="1:15" s="2889" customFormat="1" ht="20.25" hidden="1" customHeight="1" outlineLevel="1">
      <c r="A141" s="3059">
        <v>2212</v>
      </c>
      <c r="B141" s="3060">
        <v>5171</v>
      </c>
      <c r="C141" s="3058" t="s">
        <v>2811</v>
      </c>
      <c r="D141" s="3061"/>
      <c r="E141" s="3061"/>
      <c r="F141" s="3061"/>
      <c r="G141" s="3061"/>
      <c r="H141" s="3061">
        <v>0</v>
      </c>
      <c r="I141" s="3061">
        <v>0</v>
      </c>
      <c r="J141" s="3061">
        <v>0</v>
      </c>
      <c r="K141" s="3063">
        <f>+[3]Silnice!$B$69</f>
        <v>0</v>
      </c>
      <c r="L141" s="2870">
        <f t="shared" si="19"/>
        <v>0</v>
      </c>
      <c r="M141" s="2849"/>
      <c r="N141" s="2857"/>
      <c r="O141" s="3062"/>
    </row>
    <row r="142" spans="1:15" ht="20.25" hidden="1" customHeight="1" outlineLevel="1">
      <c r="A142" s="2900">
        <v>2212</v>
      </c>
      <c r="B142" s="2877">
        <v>5171</v>
      </c>
      <c r="C142" s="2984" t="s">
        <v>2789</v>
      </c>
      <c r="D142" s="2990">
        <v>0</v>
      </c>
      <c r="E142" s="2990">
        <v>0</v>
      </c>
      <c r="F142" s="2990">
        <v>0</v>
      </c>
      <c r="G142" s="2990">
        <v>0</v>
      </c>
      <c r="H142" s="2990"/>
      <c r="I142" s="2990"/>
      <c r="J142" s="2990"/>
      <c r="K142" s="2873"/>
      <c r="L142" s="2870">
        <f t="shared" si="19"/>
        <v>0</v>
      </c>
      <c r="M142" s="2850"/>
      <c r="N142" s="2857"/>
      <c r="O142" s="2160"/>
    </row>
    <row r="143" spans="1:15" ht="20.25" customHeight="1" outlineLevel="1">
      <c r="A143" s="2900">
        <v>2212</v>
      </c>
      <c r="B143" s="2877">
        <v>5171</v>
      </c>
      <c r="C143" s="2984" t="s">
        <v>2205</v>
      </c>
      <c r="D143" s="2990">
        <v>500000</v>
      </c>
      <c r="E143" s="2990">
        <v>500000</v>
      </c>
      <c r="F143" s="2990">
        <v>500000</v>
      </c>
      <c r="G143" s="2990">
        <v>500000</v>
      </c>
      <c r="H143" s="2990">
        <v>500000</v>
      </c>
      <c r="I143" s="2990">
        <v>500000</v>
      </c>
      <c r="J143" s="2990">
        <v>500000</v>
      </c>
      <c r="K143" s="2873">
        <f>+[3]Silnice!$D$70</f>
        <v>0</v>
      </c>
      <c r="L143" s="2870">
        <f t="shared" si="19"/>
        <v>-500000</v>
      </c>
      <c r="M143" s="2850"/>
      <c r="N143" s="2857"/>
      <c r="O143" s="2160"/>
    </row>
    <row r="144" spans="1:15" s="2889" customFormat="1" ht="20.25" customHeight="1" outlineLevel="1">
      <c r="A144" s="3059">
        <v>2212</v>
      </c>
      <c r="B144" s="3060">
        <v>5171</v>
      </c>
      <c r="C144" s="3058" t="s">
        <v>2810</v>
      </c>
      <c r="D144" s="3061">
        <v>0</v>
      </c>
      <c r="E144" s="3061">
        <v>0</v>
      </c>
      <c r="F144" s="3061">
        <v>0</v>
      </c>
      <c r="G144" s="3061">
        <v>0</v>
      </c>
      <c r="H144" s="3061">
        <v>250000</v>
      </c>
      <c r="I144" s="3061">
        <v>250000</v>
      </c>
      <c r="J144" s="3061">
        <v>250000</v>
      </c>
      <c r="K144" s="2880">
        <f>+[3]Silnice!$B$71</f>
        <v>250000</v>
      </c>
      <c r="L144" s="2870">
        <f t="shared" si="19"/>
        <v>0</v>
      </c>
      <c r="M144" s="2888"/>
      <c r="N144" s="2857"/>
      <c r="O144" s="3062"/>
    </row>
    <row r="145" spans="1:15" ht="20.25" customHeight="1" outlineLevel="1">
      <c r="A145" s="2900">
        <v>2212</v>
      </c>
      <c r="B145" s="2877">
        <v>5171</v>
      </c>
      <c r="C145" s="2984" t="s">
        <v>2206</v>
      </c>
      <c r="D145" s="2990">
        <v>2000000</v>
      </c>
      <c r="E145" s="2990">
        <v>2000000</v>
      </c>
      <c r="F145" s="2990">
        <v>2000000</v>
      </c>
      <c r="G145" s="2990">
        <v>2000000</v>
      </c>
      <c r="H145" s="2990">
        <v>2000000</v>
      </c>
      <c r="I145" s="2990">
        <v>2000000</v>
      </c>
      <c r="J145" s="2990">
        <v>0</v>
      </c>
      <c r="K145" s="2873">
        <f>+[3]Silnice!$B$72</f>
        <v>0</v>
      </c>
      <c r="L145" s="2870">
        <f t="shared" si="19"/>
        <v>0</v>
      </c>
      <c r="M145" s="2850"/>
      <c r="N145" s="2857"/>
      <c r="O145" s="2160"/>
    </row>
    <row r="146" spans="1:15" ht="20.25" customHeight="1" outlineLevel="1">
      <c r="A146" s="2900">
        <v>2212</v>
      </c>
      <c r="B146" s="2877">
        <v>5171</v>
      </c>
      <c r="C146" s="2984" t="s">
        <v>2283</v>
      </c>
      <c r="D146" s="2990">
        <v>500000</v>
      </c>
      <c r="E146" s="2990">
        <v>500000</v>
      </c>
      <c r="F146" s="2990">
        <v>500000</v>
      </c>
      <c r="G146" s="2990">
        <v>500000</v>
      </c>
      <c r="H146" s="2990">
        <v>500000</v>
      </c>
      <c r="I146" s="2990">
        <v>500000</v>
      </c>
      <c r="J146" s="2990">
        <v>0</v>
      </c>
      <c r="K146" s="2873">
        <f>+[3]Silnice!$B$73</f>
        <v>0</v>
      </c>
      <c r="L146" s="2870">
        <f t="shared" si="19"/>
        <v>0</v>
      </c>
      <c r="M146" s="2850"/>
      <c r="N146" s="2857"/>
      <c r="O146" s="2160"/>
    </row>
    <row r="147" spans="1:15" ht="20.25" hidden="1" customHeight="1" outlineLevel="1">
      <c r="A147" s="2900">
        <v>2212</v>
      </c>
      <c r="B147" s="2877">
        <v>5171</v>
      </c>
      <c r="C147" s="2984"/>
      <c r="D147" s="2990"/>
      <c r="E147" s="2990"/>
      <c r="F147" s="2990"/>
      <c r="G147" s="2990"/>
      <c r="H147" s="2990"/>
      <c r="I147" s="2990"/>
      <c r="J147" s="2990"/>
      <c r="K147" s="2873"/>
      <c r="L147" s="2870">
        <f t="shared" si="19"/>
        <v>0</v>
      </c>
      <c r="M147" s="2850"/>
      <c r="N147" s="2857"/>
      <c r="O147" s="2160"/>
    </row>
    <row r="148" spans="1:15" ht="20.25" hidden="1" customHeight="1" outlineLevel="1">
      <c r="A148" s="2900">
        <v>2212</v>
      </c>
      <c r="B148" s="2877">
        <v>5171</v>
      </c>
      <c r="C148" s="2984"/>
      <c r="D148" s="2990"/>
      <c r="E148" s="2990"/>
      <c r="F148" s="2990"/>
      <c r="G148" s="2990"/>
      <c r="H148" s="2990"/>
      <c r="I148" s="2990"/>
      <c r="J148" s="2990"/>
      <c r="K148" s="2873"/>
      <c r="L148" s="2870">
        <f t="shared" si="19"/>
        <v>0</v>
      </c>
      <c r="M148" s="2850"/>
      <c r="N148" s="2857"/>
      <c r="O148" s="2160"/>
    </row>
    <row r="149" spans="1:15" ht="12.4" thickBot="1">
      <c r="A149" s="3298" t="s">
        <v>254</v>
      </c>
      <c r="B149" s="3299"/>
      <c r="C149" s="2981"/>
      <c r="D149" s="2987">
        <v>12641480</v>
      </c>
      <c r="E149" s="2987">
        <v>14530000</v>
      </c>
      <c r="F149" s="2987">
        <v>14530000</v>
      </c>
      <c r="G149" s="2987">
        <v>14530000</v>
      </c>
      <c r="H149" s="2987">
        <v>21186200</v>
      </c>
      <c r="I149" s="2987">
        <v>21186200</v>
      </c>
      <c r="J149" s="2987">
        <v>16156200</v>
      </c>
      <c r="K149" s="2854">
        <f>SUM(K109:K148)</f>
        <v>10430000</v>
      </c>
      <c r="L149" s="2855">
        <f t="shared" si="19"/>
        <v>-5726200</v>
      </c>
      <c r="M149" s="2856">
        <f>'Výdaje kapitol celkem'!CJ35</f>
        <v>10430000</v>
      </c>
      <c r="N149" s="2857">
        <f>+M149-K149</f>
        <v>0</v>
      </c>
      <c r="O149" s="2160"/>
    </row>
    <row r="150" spans="1:15" ht="19.5" customHeight="1" outlineLevel="1">
      <c r="A150" s="2897">
        <v>2310</v>
      </c>
      <c r="B150" s="2814">
        <v>5171</v>
      </c>
      <c r="C150" s="2979" t="s">
        <v>1709</v>
      </c>
      <c r="D150" s="2985">
        <v>0</v>
      </c>
      <c r="E150" s="2985">
        <v>0</v>
      </c>
      <c r="F150" s="2985">
        <v>0</v>
      </c>
      <c r="G150" s="2985">
        <v>0</v>
      </c>
      <c r="H150" s="2985">
        <v>0</v>
      </c>
      <c r="I150" s="2985">
        <v>0</v>
      </c>
      <c r="J150" s="2985">
        <v>0</v>
      </c>
      <c r="K150" s="2816">
        <f>+[3]Vodovod!$B$20</f>
        <v>0</v>
      </c>
      <c r="L150" s="2817">
        <f t="shared" si="19"/>
        <v>0</v>
      </c>
      <c r="M150" s="2850"/>
      <c r="N150" s="2857"/>
      <c r="O150" s="2160"/>
    </row>
    <row r="151" spans="1:15" ht="19.5" customHeight="1" outlineLevel="1">
      <c r="A151" s="2900">
        <v>2310</v>
      </c>
      <c r="B151" s="2877">
        <v>5171</v>
      </c>
      <c r="C151" s="2983" t="s">
        <v>1710</v>
      </c>
      <c r="D151" s="2989">
        <v>100000</v>
      </c>
      <c r="E151" s="2989">
        <v>100000</v>
      </c>
      <c r="F151" s="2989">
        <v>100000</v>
      </c>
      <c r="G151" s="2989">
        <v>100000</v>
      </c>
      <c r="H151" s="2989">
        <v>100000</v>
      </c>
      <c r="I151" s="2989">
        <v>100000</v>
      </c>
      <c r="J151" s="2989">
        <v>100000</v>
      </c>
      <c r="K151" s="2831">
        <f>+[3]Vodovod!$B$21</f>
        <v>100000</v>
      </c>
      <c r="L151" s="2822">
        <f t="shared" si="19"/>
        <v>0</v>
      </c>
      <c r="M151" s="2850"/>
      <c r="N151" s="2857"/>
      <c r="O151" s="2160"/>
    </row>
    <row r="152" spans="1:15" ht="15" hidden="1" customHeight="1" outlineLevel="1">
      <c r="A152" s="2900">
        <v>2310</v>
      </c>
      <c r="B152" s="2877">
        <v>5171</v>
      </c>
      <c r="C152" s="2984"/>
      <c r="D152" s="2990"/>
      <c r="E152" s="2990"/>
      <c r="F152" s="2990"/>
      <c r="G152" s="2990"/>
      <c r="H152" s="2990"/>
      <c r="I152" s="2990"/>
      <c r="J152" s="2990"/>
      <c r="K152" s="2873"/>
      <c r="L152" s="2870">
        <f t="shared" si="19"/>
        <v>0</v>
      </c>
      <c r="M152" s="2850"/>
      <c r="N152" s="2857"/>
      <c r="O152" s="2160"/>
    </row>
    <row r="153" spans="1:15" ht="12.4" thickBot="1">
      <c r="A153" s="3298" t="s">
        <v>211</v>
      </c>
      <c r="B153" s="3299"/>
      <c r="C153" s="2981"/>
      <c r="D153" s="2987">
        <v>100000</v>
      </c>
      <c r="E153" s="2987">
        <v>100000</v>
      </c>
      <c r="F153" s="2987">
        <v>100000</v>
      </c>
      <c r="G153" s="2987">
        <v>100000</v>
      </c>
      <c r="H153" s="2987">
        <v>100000</v>
      </c>
      <c r="I153" s="2987">
        <v>100000</v>
      </c>
      <c r="J153" s="2987">
        <v>100000</v>
      </c>
      <c r="K153" s="2854">
        <f t="shared" ref="K153" si="20">SUM(K150:K152)</f>
        <v>100000</v>
      </c>
      <c r="L153" s="2855">
        <f t="shared" si="19"/>
        <v>0</v>
      </c>
      <c r="M153" s="2856">
        <f>'Výdaje kapitol celkem'!CN35</f>
        <v>100000</v>
      </c>
      <c r="N153" s="2857">
        <f>+M153-K153</f>
        <v>0</v>
      </c>
      <c r="O153" s="2160"/>
    </row>
    <row r="154" spans="1:15" ht="20.25" customHeight="1" outlineLevel="1">
      <c r="A154" s="2901">
        <v>3633</v>
      </c>
      <c r="B154" s="2878">
        <v>5171</v>
      </c>
      <c r="C154" s="2983" t="s">
        <v>2361</v>
      </c>
      <c r="D154" s="2989">
        <v>400000</v>
      </c>
      <c r="E154" s="2989">
        <v>400000</v>
      </c>
      <c r="F154" s="2989">
        <v>400000</v>
      </c>
      <c r="G154" s="2989">
        <v>400000</v>
      </c>
      <c r="H154" s="2989">
        <v>400000</v>
      </c>
      <c r="I154" s="2989">
        <v>400000</v>
      </c>
      <c r="J154" s="2989">
        <v>400000</v>
      </c>
      <c r="K154" s="2816">
        <f>+'[3]Inženýrské sítě'!$B$12+106000</f>
        <v>506000</v>
      </c>
      <c r="L154" s="2828">
        <f t="shared" si="19"/>
        <v>106000</v>
      </c>
      <c r="M154" s="2850"/>
      <c r="N154" s="2857"/>
      <c r="O154" s="2160"/>
    </row>
    <row r="155" spans="1:15" ht="20.25" customHeight="1" outlineLevel="1">
      <c r="A155" s="2900">
        <v>3633</v>
      </c>
      <c r="B155" s="2877">
        <v>5171</v>
      </c>
      <c r="C155" s="2984" t="s">
        <v>2362</v>
      </c>
      <c r="D155" s="2988">
        <v>800000</v>
      </c>
      <c r="E155" s="2988">
        <v>800000</v>
      </c>
      <c r="F155" s="2988">
        <v>800000</v>
      </c>
      <c r="G155" s="2988">
        <v>800000</v>
      </c>
      <c r="H155" s="2988">
        <v>800000</v>
      </c>
      <c r="I155" s="2988">
        <v>800000</v>
      </c>
      <c r="J155" s="2988">
        <v>800000</v>
      </c>
      <c r="K155" s="2829">
        <f>+'[3]Inženýrské sítě'!$B$13</f>
        <v>430000</v>
      </c>
      <c r="L155" s="2828">
        <f t="shared" si="19"/>
        <v>-370000</v>
      </c>
      <c r="M155" s="2850"/>
      <c r="N155" s="2857"/>
      <c r="O155" s="2160"/>
    </row>
    <row r="156" spans="1:15" ht="20.25" hidden="1" customHeight="1" outlineLevel="1">
      <c r="A156" s="2900">
        <v>3633</v>
      </c>
      <c r="B156" s="2877">
        <v>5171</v>
      </c>
      <c r="C156" s="2984"/>
      <c r="D156" s="2989"/>
      <c r="E156" s="2989"/>
      <c r="F156" s="2989"/>
      <c r="G156" s="2989"/>
      <c r="H156" s="2989"/>
      <c r="I156" s="2989"/>
      <c r="J156" s="2989"/>
      <c r="K156" s="2831"/>
      <c r="L156" s="2828">
        <f t="shared" si="19"/>
        <v>0</v>
      </c>
      <c r="M156" s="2850"/>
      <c r="N156" s="2857"/>
      <c r="O156" s="2160"/>
    </row>
    <row r="157" spans="1:15" ht="20.25" customHeight="1" thickBot="1">
      <c r="A157" s="3298" t="s">
        <v>251</v>
      </c>
      <c r="B157" s="3299"/>
      <c r="C157" s="2981"/>
      <c r="D157" s="2987">
        <v>1200000</v>
      </c>
      <c r="E157" s="2987">
        <v>1200000</v>
      </c>
      <c r="F157" s="2987">
        <v>1200000</v>
      </c>
      <c r="G157" s="2987">
        <v>1200000</v>
      </c>
      <c r="H157" s="2987">
        <v>1200000</v>
      </c>
      <c r="I157" s="2987">
        <v>1200000</v>
      </c>
      <c r="J157" s="2987">
        <v>1200000</v>
      </c>
      <c r="K157" s="2854">
        <f t="shared" ref="K157" si="21">SUM(K154:K156)</f>
        <v>936000</v>
      </c>
      <c r="L157" s="2855">
        <f t="shared" si="19"/>
        <v>-264000</v>
      </c>
      <c r="M157" s="2856">
        <f>'Výdaje kapitol celkem'!CZ35+'Výdaje kapitol celkem'!DM35</f>
        <v>936000</v>
      </c>
      <c r="N157" s="2857">
        <f>+M157-K157</f>
        <v>0</v>
      </c>
      <c r="O157" s="2160"/>
    </row>
    <row r="158" spans="1:15" ht="22.5" customHeight="1" outlineLevel="1">
      <c r="A158" s="2901" t="s">
        <v>219</v>
      </c>
      <c r="B158" s="2878">
        <v>5171</v>
      </c>
      <c r="C158" s="2983" t="s">
        <v>1699</v>
      </c>
      <c r="D158" s="2989">
        <v>2500000</v>
      </c>
      <c r="E158" s="2989">
        <v>2500000</v>
      </c>
      <c r="F158" s="2989">
        <v>2500000</v>
      </c>
      <c r="G158" s="2989">
        <v>2500000</v>
      </c>
      <c r="H158" s="2989">
        <v>2500000</v>
      </c>
      <c r="I158" s="2989">
        <v>2500000</v>
      </c>
      <c r="J158" s="2989">
        <v>1300000</v>
      </c>
      <c r="K158" s="2831">
        <f>+'[4]Kanalizace obnova'!$B$6</f>
        <v>260000</v>
      </c>
      <c r="L158" s="2822">
        <f t="shared" si="19"/>
        <v>-1040000</v>
      </c>
      <c r="M158" s="2850"/>
      <c r="N158" s="2857"/>
      <c r="O158" s="2160"/>
    </row>
    <row r="159" spans="1:15" ht="20.25" customHeight="1" outlineLevel="1">
      <c r="A159" s="2900" t="s">
        <v>219</v>
      </c>
      <c r="B159" s="2877">
        <v>5171</v>
      </c>
      <c r="C159" s="2984"/>
      <c r="D159" s="2990">
        <v>0</v>
      </c>
      <c r="E159" s="2990">
        <v>0</v>
      </c>
      <c r="F159" s="2990">
        <v>0</v>
      </c>
      <c r="G159" s="2990">
        <v>0</v>
      </c>
      <c r="H159" s="2990">
        <v>0</v>
      </c>
      <c r="I159" s="2990">
        <v>0</v>
      </c>
      <c r="J159" s="2990">
        <v>0</v>
      </c>
      <c r="K159" s="2873">
        <f>+'[4]Kanalizace obnova'!$B$7</f>
        <v>0</v>
      </c>
      <c r="L159" s="2870">
        <f t="shared" si="19"/>
        <v>0</v>
      </c>
      <c r="M159" s="2850"/>
      <c r="N159" s="2857"/>
      <c r="O159" s="2160"/>
    </row>
    <row r="160" spans="1:15" ht="20.25" hidden="1" customHeight="1" outlineLevel="1">
      <c r="A160" s="2900" t="s">
        <v>219</v>
      </c>
      <c r="B160" s="2877">
        <v>5171</v>
      </c>
      <c r="C160" s="2982"/>
      <c r="D160" s="2990"/>
      <c r="E160" s="2990"/>
      <c r="F160" s="2990"/>
      <c r="G160" s="2990"/>
      <c r="H160" s="2990"/>
      <c r="I160" s="2990"/>
      <c r="J160" s="2990"/>
      <c r="K160" s="2873"/>
      <c r="L160" s="2863">
        <f t="shared" si="19"/>
        <v>0</v>
      </c>
      <c r="M160" s="2850"/>
      <c r="N160" s="2857"/>
      <c r="O160" s="2160"/>
    </row>
    <row r="161" spans="1:15" ht="25.5" customHeight="1" thickBot="1">
      <c r="A161" s="3298" t="s">
        <v>250</v>
      </c>
      <c r="B161" s="3299"/>
      <c r="C161" s="2981"/>
      <c r="D161" s="2987">
        <v>2500000</v>
      </c>
      <c r="E161" s="2987">
        <v>2500000</v>
      </c>
      <c r="F161" s="2987">
        <v>2500000</v>
      </c>
      <c r="G161" s="2987">
        <v>2500000</v>
      </c>
      <c r="H161" s="2987">
        <v>2500000</v>
      </c>
      <c r="I161" s="2987">
        <v>2500000</v>
      </c>
      <c r="J161" s="2987">
        <v>1300000</v>
      </c>
      <c r="K161" s="2854">
        <f t="shared" ref="K161" si="22">SUM(K158:K160)</f>
        <v>260000</v>
      </c>
      <c r="L161" s="2855">
        <f t="shared" si="19"/>
        <v>-1040000</v>
      </c>
      <c r="M161" s="2856">
        <f>'Výdaje kapitol celkem'!CW35</f>
        <v>260000</v>
      </c>
      <c r="N161" s="2857">
        <f>+M161-K161</f>
        <v>0</v>
      </c>
      <c r="O161" s="2160"/>
    </row>
    <row r="162" spans="1:15" ht="20.25" customHeight="1" outlineLevel="1">
      <c r="A162" s="2899" t="s">
        <v>196</v>
      </c>
      <c r="B162" s="2866">
        <v>5171</v>
      </c>
      <c r="C162" s="2982" t="s">
        <v>1703</v>
      </c>
      <c r="D162" s="2988">
        <v>200000</v>
      </c>
      <c r="E162" s="2988">
        <v>200000</v>
      </c>
      <c r="F162" s="2988">
        <v>200000</v>
      </c>
      <c r="G162" s="2988">
        <v>200000</v>
      </c>
      <c r="H162" s="2988">
        <v>200000</v>
      </c>
      <c r="I162" s="2988">
        <v>200000</v>
      </c>
      <c r="J162" s="2988">
        <v>200000</v>
      </c>
      <c r="K162" s="2829">
        <f>+[3]Kanalizace!$B$21</f>
        <v>200000</v>
      </c>
      <c r="L162" s="2880">
        <f t="shared" si="19"/>
        <v>0</v>
      </c>
      <c r="M162" s="2850"/>
      <c r="N162" s="2857"/>
      <c r="O162" s="2160"/>
    </row>
    <row r="163" spans="1:15" ht="20.25" customHeight="1" outlineLevel="1">
      <c r="A163" s="2900" t="s">
        <v>196</v>
      </c>
      <c r="B163" s="2877">
        <v>5171</v>
      </c>
      <c r="C163" s="2982" t="s">
        <v>1704</v>
      </c>
      <c r="D163" s="2988">
        <v>140000</v>
      </c>
      <c r="E163" s="2988">
        <v>140000</v>
      </c>
      <c r="F163" s="2988">
        <v>140000</v>
      </c>
      <c r="G163" s="2988">
        <v>140000</v>
      </c>
      <c r="H163" s="2988">
        <v>140000</v>
      </c>
      <c r="I163" s="2988">
        <v>140000</v>
      </c>
      <c r="J163" s="2988">
        <v>140000</v>
      </c>
      <c r="K163" s="2829">
        <f>+[3]Kanalizace!$B$22</f>
        <v>140000</v>
      </c>
      <c r="L163" s="2870">
        <f t="shared" si="19"/>
        <v>0</v>
      </c>
      <c r="M163" s="2850"/>
      <c r="N163" s="2857"/>
      <c r="O163" s="2160"/>
    </row>
    <row r="164" spans="1:15" ht="20.25" customHeight="1" outlineLevel="1">
      <c r="A164" s="2900" t="s">
        <v>196</v>
      </c>
      <c r="B164" s="2877">
        <v>5171</v>
      </c>
      <c r="C164" s="2982"/>
      <c r="D164" s="2990"/>
      <c r="E164" s="2990"/>
      <c r="F164" s="2990"/>
      <c r="G164" s="2990"/>
      <c r="H164" s="2990"/>
      <c r="I164" s="2990"/>
      <c r="J164" s="2990"/>
      <c r="K164" s="2873"/>
      <c r="L164" s="2863">
        <f t="shared" si="19"/>
        <v>0</v>
      </c>
      <c r="M164" s="2850"/>
      <c r="N164" s="2857"/>
      <c r="O164" s="2160"/>
    </row>
    <row r="165" spans="1:15" ht="12.4" thickBot="1">
      <c r="A165" s="3298" t="s">
        <v>685</v>
      </c>
      <c r="B165" s="3299"/>
      <c r="C165" s="2981"/>
      <c r="D165" s="2987">
        <v>340000</v>
      </c>
      <c r="E165" s="2987">
        <v>340000</v>
      </c>
      <c r="F165" s="2987">
        <v>340000</v>
      </c>
      <c r="G165" s="2987">
        <v>340000</v>
      </c>
      <c r="H165" s="2987">
        <v>340000</v>
      </c>
      <c r="I165" s="2987">
        <v>340000</v>
      </c>
      <c r="J165" s="2987">
        <v>340000</v>
      </c>
      <c r="K165" s="2854">
        <f t="shared" ref="K165" si="23">SUM(K162:K164)</f>
        <v>340000</v>
      </c>
      <c r="L165" s="2855">
        <f t="shared" si="19"/>
        <v>0</v>
      </c>
      <c r="M165" s="2856">
        <f>'Výdaje kapitol celkem'!CT35</f>
        <v>340000</v>
      </c>
      <c r="N165" s="2857">
        <f>+M165-K165</f>
        <v>0</v>
      </c>
      <c r="O165" s="2160"/>
    </row>
    <row r="166" spans="1:15" ht="20.25" customHeight="1" outlineLevel="1">
      <c r="A166" s="2897">
        <v>3114</v>
      </c>
      <c r="B166" s="2814">
        <v>5171</v>
      </c>
      <c r="C166" s="2979" t="s">
        <v>1728</v>
      </c>
      <c r="D166" s="2985">
        <v>80000</v>
      </c>
      <c r="E166" s="2985">
        <v>80000</v>
      </c>
      <c r="F166" s="2985">
        <v>80000</v>
      </c>
      <c r="G166" s="2985">
        <v>80000</v>
      </c>
      <c r="H166" s="2985">
        <v>80000</v>
      </c>
      <c r="I166" s="2985">
        <v>80000</v>
      </c>
      <c r="J166" s="2985">
        <v>80000</v>
      </c>
      <c r="K166" s="2816">
        <f>+'[3]Č.p. 65'!$B$12</f>
        <v>80000</v>
      </c>
      <c r="L166" s="2817">
        <f t="shared" si="19"/>
        <v>0</v>
      </c>
      <c r="M166" s="2850"/>
      <c r="N166" s="2857"/>
      <c r="O166" s="2160"/>
    </row>
    <row r="167" spans="1:15" ht="20.25" customHeight="1" outlineLevel="1">
      <c r="A167" s="2899">
        <v>3114</v>
      </c>
      <c r="B167" s="2866">
        <v>5171</v>
      </c>
      <c r="C167" s="2982" t="s">
        <v>2359</v>
      </c>
      <c r="D167" s="2988">
        <v>100000</v>
      </c>
      <c r="E167" s="2988">
        <v>100000</v>
      </c>
      <c r="F167" s="2988">
        <v>100000</v>
      </c>
      <c r="G167" s="2988">
        <v>100000</v>
      </c>
      <c r="H167" s="2988">
        <v>100000</v>
      </c>
      <c r="I167" s="2988">
        <v>100000</v>
      </c>
      <c r="J167" s="2988">
        <v>100000</v>
      </c>
      <c r="K167" s="2829">
        <f>+'[3]Č.p. 65'!$B$13</f>
        <v>50000</v>
      </c>
      <c r="L167" s="2870">
        <f t="shared" si="19"/>
        <v>-50000</v>
      </c>
      <c r="M167" s="2850"/>
      <c r="N167" s="2857"/>
      <c r="O167" s="2160"/>
    </row>
    <row r="168" spans="1:15" ht="20.25" customHeight="1" outlineLevel="1">
      <c r="A168" s="2899">
        <v>3114</v>
      </c>
      <c r="B168" s="2866">
        <v>5171</v>
      </c>
      <c r="C168" s="2982"/>
      <c r="D168" s="2988">
        <v>0</v>
      </c>
      <c r="E168" s="2988">
        <v>0</v>
      </c>
      <c r="F168" s="2988">
        <v>0</v>
      </c>
      <c r="G168" s="2988">
        <v>0</v>
      </c>
      <c r="H168" s="2988">
        <v>0</v>
      </c>
      <c r="I168" s="2988">
        <v>0</v>
      </c>
      <c r="J168" s="2988">
        <v>0</v>
      </c>
      <c r="K168" s="2829">
        <f>+[2]č.p.65!$B$33</f>
        <v>0</v>
      </c>
      <c r="L168" s="2822">
        <f t="shared" si="19"/>
        <v>0</v>
      </c>
      <c r="M168" s="2850"/>
      <c r="N168" s="2857"/>
      <c r="O168" s="2160"/>
    </row>
    <row r="169" spans="1:15" ht="20.25" hidden="1" customHeight="1" outlineLevel="1">
      <c r="A169" s="2901">
        <v>3114</v>
      </c>
      <c r="B169" s="2878">
        <v>5171</v>
      </c>
      <c r="C169" s="2983"/>
      <c r="D169" s="2989">
        <v>0</v>
      </c>
      <c r="E169" s="2989">
        <v>0</v>
      </c>
      <c r="F169" s="2989">
        <v>0</v>
      </c>
      <c r="G169" s="2989">
        <v>0</v>
      </c>
      <c r="H169" s="2989">
        <v>0</v>
      </c>
      <c r="I169" s="2989">
        <v>0</v>
      </c>
      <c r="J169" s="2989">
        <v>0</v>
      </c>
      <c r="K169" s="2831">
        <f>+[2]č.p.65!$B$34</f>
        <v>0</v>
      </c>
      <c r="L169" s="2822">
        <f t="shared" si="19"/>
        <v>0</v>
      </c>
      <c r="M169" s="2850"/>
      <c r="N169" s="2857"/>
      <c r="O169" s="2160"/>
    </row>
    <row r="170" spans="1:15" ht="12.4" thickBot="1">
      <c r="A170" s="3298" t="s">
        <v>212</v>
      </c>
      <c r="B170" s="3299"/>
      <c r="C170" s="2981"/>
      <c r="D170" s="2987">
        <v>180000</v>
      </c>
      <c r="E170" s="2987">
        <v>180000</v>
      </c>
      <c r="F170" s="2987">
        <v>180000</v>
      </c>
      <c r="G170" s="2987">
        <v>180000</v>
      </c>
      <c r="H170" s="2987">
        <v>180000</v>
      </c>
      <c r="I170" s="2987">
        <v>180000</v>
      </c>
      <c r="J170" s="2987">
        <v>180000</v>
      </c>
      <c r="K170" s="2854">
        <f t="shared" ref="K170" si="24">SUM(K166:K169)</f>
        <v>130000</v>
      </c>
      <c r="L170" s="2855">
        <f t="shared" si="19"/>
        <v>-50000</v>
      </c>
      <c r="M170" s="2856">
        <f>+'Výdaje kapitol celkem'!BM35</f>
        <v>130000</v>
      </c>
      <c r="N170" s="2857">
        <f>+M170-K170</f>
        <v>0</v>
      </c>
      <c r="O170" s="2160"/>
    </row>
    <row r="171" spans="1:15" ht="20.25" customHeight="1" outlineLevel="1">
      <c r="A171" s="2901">
        <v>3749</v>
      </c>
      <c r="B171" s="2878">
        <v>5171</v>
      </c>
      <c r="C171" s="2983"/>
      <c r="D171" s="2989">
        <v>0</v>
      </c>
      <c r="E171" s="2989">
        <v>0</v>
      </c>
      <c r="F171" s="2989">
        <v>0</v>
      </c>
      <c r="G171" s="2989">
        <v>0</v>
      </c>
      <c r="H171" s="2989">
        <v>0</v>
      </c>
      <c r="I171" s="2989">
        <v>0</v>
      </c>
      <c r="J171" s="2989">
        <v>0</v>
      </c>
      <c r="K171" s="2831">
        <f>+[3]Rybníky!$B$12</f>
        <v>0</v>
      </c>
      <c r="L171" s="2822">
        <f t="shared" si="19"/>
        <v>0</v>
      </c>
      <c r="M171" s="2850"/>
      <c r="N171" s="2857"/>
      <c r="O171" s="2160"/>
    </row>
    <row r="172" spans="1:15" ht="20.25" customHeight="1" outlineLevel="1">
      <c r="A172" s="2899">
        <v>3749</v>
      </c>
      <c r="B172" s="2866">
        <v>5171</v>
      </c>
      <c r="C172" s="2982"/>
      <c r="D172" s="2988">
        <v>0</v>
      </c>
      <c r="E172" s="2988">
        <v>0</v>
      </c>
      <c r="F172" s="2988">
        <v>0</v>
      </c>
      <c r="G172" s="2988">
        <v>0</v>
      </c>
      <c r="H172" s="2988">
        <v>0</v>
      </c>
      <c r="I172" s="2988">
        <v>0</v>
      </c>
      <c r="J172" s="2988">
        <v>0</v>
      </c>
      <c r="K172" s="2829">
        <f>+[3]Rybníky!$B$13</f>
        <v>0</v>
      </c>
      <c r="L172" s="2870">
        <f t="shared" si="19"/>
        <v>0</v>
      </c>
      <c r="M172" s="2850"/>
      <c r="N172" s="2857"/>
      <c r="O172" s="2160"/>
    </row>
    <row r="173" spans="1:15" ht="20.25" customHeight="1" outlineLevel="1">
      <c r="A173" s="2898">
        <v>3749</v>
      </c>
      <c r="B173" s="2819">
        <v>5171</v>
      </c>
      <c r="C173" s="2980"/>
      <c r="D173" s="2986"/>
      <c r="E173" s="2986"/>
      <c r="F173" s="2986"/>
      <c r="G173" s="2986"/>
      <c r="H173" s="2986"/>
      <c r="I173" s="2986"/>
      <c r="J173" s="2986"/>
      <c r="K173" s="2827"/>
      <c r="L173" s="2828">
        <f t="shared" si="19"/>
        <v>0</v>
      </c>
      <c r="M173" s="2850"/>
      <c r="N173" s="2857"/>
      <c r="O173" s="2160"/>
    </row>
    <row r="174" spans="1:15" ht="20.25" customHeight="1" thickBot="1">
      <c r="A174" s="3298" t="s">
        <v>1188</v>
      </c>
      <c r="B174" s="3299"/>
      <c r="C174" s="2981"/>
      <c r="D174" s="2987">
        <v>0</v>
      </c>
      <c r="E174" s="2987">
        <v>0</v>
      </c>
      <c r="F174" s="2987">
        <v>0</v>
      </c>
      <c r="G174" s="2987">
        <v>0</v>
      </c>
      <c r="H174" s="2987">
        <v>0</v>
      </c>
      <c r="I174" s="2987">
        <v>0</v>
      </c>
      <c r="J174" s="2987">
        <v>0</v>
      </c>
      <c r="K174" s="2854">
        <f t="shared" ref="K174" si="25">SUM(K171:K173)</f>
        <v>0</v>
      </c>
      <c r="L174" s="2855">
        <f t="shared" si="19"/>
        <v>0</v>
      </c>
      <c r="M174" s="2856">
        <f>'Výdaje kapitol celkem'!DR35</f>
        <v>0</v>
      </c>
      <c r="N174" s="2857">
        <f>+M174-K174</f>
        <v>0</v>
      </c>
      <c r="O174" s="2160"/>
    </row>
    <row r="175" spans="1:15" ht="20.25" customHeight="1" outlineLevel="1">
      <c r="A175" s="2901" t="s">
        <v>198</v>
      </c>
      <c r="B175" s="2878">
        <v>5171</v>
      </c>
      <c r="C175" s="2983" t="s">
        <v>1699</v>
      </c>
      <c r="D175" s="2989">
        <v>3000000</v>
      </c>
      <c r="E175" s="2989">
        <v>3500000</v>
      </c>
      <c r="F175" s="2989">
        <v>5200000</v>
      </c>
      <c r="G175" s="2989">
        <v>5200000</v>
      </c>
      <c r="H175" s="2989">
        <v>5200000</v>
      </c>
      <c r="I175" s="2989">
        <v>5200000</v>
      </c>
      <c r="J175" s="2989">
        <v>6400000</v>
      </c>
      <c r="K175" s="2831">
        <f>+'[4]Vodovod obnova'!$B$6</f>
        <v>3700000</v>
      </c>
      <c r="L175" s="2822">
        <f t="shared" si="19"/>
        <v>-2700000</v>
      </c>
      <c r="M175" s="2850"/>
      <c r="N175" s="2857"/>
      <c r="O175" s="2160"/>
    </row>
    <row r="176" spans="1:15" ht="20.25" customHeight="1" outlineLevel="1">
      <c r="A176" s="2899" t="s">
        <v>198</v>
      </c>
      <c r="B176" s="2866">
        <v>5171</v>
      </c>
      <c r="C176" s="2982" t="s">
        <v>2179</v>
      </c>
      <c r="D176" s="2988">
        <v>0</v>
      </c>
      <c r="E176" s="2988">
        <v>0</v>
      </c>
      <c r="F176" s="2988">
        <v>0</v>
      </c>
      <c r="G176" s="2988">
        <v>0</v>
      </c>
      <c r="H176" s="2988">
        <v>0</v>
      </c>
      <c r="I176" s="2988">
        <v>0</v>
      </c>
      <c r="J176" s="2988">
        <v>0</v>
      </c>
      <c r="K176" s="2829">
        <f>+'[4]Vodovod obnova'!$B$7</f>
        <v>0</v>
      </c>
      <c r="L176" s="2870">
        <f t="shared" si="19"/>
        <v>0</v>
      </c>
      <c r="M176" s="2850"/>
      <c r="N176" s="2857"/>
      <c r="O176" s="2160"/>
    </row>
    <row r="177" spans="1:15" ht="20.25" hidden="1" customHeight="1" outlineLevel="1">
      <c r="A177" s="2898" t="s">
        <v>198</v>
      </c>
      <c r="B177" s="2819">
        <v>5171</v>
      </c>
      <c r="C177" s="2980"/>
      <c r="D177" s="2986">
        <v>0</v>
      </c>
      <c r="E177" s="2986">
        <v>0</v>
      </c>
      <c r="F177" s="2986">
        <v>0</v>
      </c>
      <c r="G177" s="2986">
        <v>0</v>
      </c>
      <c r="H177" s="2986">
        <v>0</v>
      </c>
      <c r="I177" s="2986">
        <v>0</v>
      </c>
      <c r="J177" s="2986">
        <v>0</v>
      </c>
      <c r="K177" s="2827">
        <f>+'[4]Vodovod obnova'!$B$8</f>
        <v>0</v>
      </c>
      <c r="L177" s="2828">
        <f t="shared" si="19"/>
        <v>0</v>
      </c>
      <c r="M177" s="2850"/>
      <c r="N177" s="2857"/>
      <c r="O177" s="2160"/>
    </row>
    <row r="178" spans="1:15" ht="12.4" thickBot="1">
      <c r="A178" s="3298" t="s">
        <v>215</v>
      </c>
      <c r="B178" s="3299"/>
      <c r="C178" s="2981"/>
      <c r="D178" s="2987">
        <v>3000000</v>
      </c>
      <c r="E178" s="2987">
        <v>3500000</v>
      </c>
      <c r="F178" s="2987">
        <v>5200000</v>
      </c>
      <c r="G178" s="2987">
        <v>5200000</v>
      </c>
      <c r="H178" s="2987">
        <v>5200000</v>
      </c>
      <c r="I178" s="2987">
        <v>5200000</v>
      </c>
      <c r="J178" s="2987">
        <v>6400000</v>
      </c>
      <c r="K178" s="2854">
        <f t="shared" ref="K178" si="26">SUM(K175:K177)</f>
        <v>3700000</v>
      </c>
      <c r="L178" s="2855">
        <f t="shared" si="19"/>
        <v>-2700000</v>
      </c>
      <c r="M178" s="2856">
        <f>'Výdaje kapitol celkem'!CQ35</f>
        <v>3700000</v>
      </c>
      <c r="N178" s="2857">
        <v>0</v>
      </c>
      <c r="O178" s="2160"/>
    </row>
    <row r="179" spans="1:15" s="2858" customFormat="1" ht="18" customHeight="1" thickBot="1">
      <c r="A179" s="3291" t="s">
        <v>216</v>
      </c>
      <c r="B179" s="3292"/>
      <c r="C179" s="3292"/>
      <c r="D179" s="2991">
        <v>37319480</v>
      </c>
      <c r="E179" s="2991">
        <v>42048000</v>
      </c>
      <c r="F179" s="2991">
        <v>44558000</v>
      </c>
      <c r="G179" s="2991">
        <v>44558000</v>
      </c>
      <c r="H179" s="2991">
        <v>51344200</v>
      </c>
      <c r="I179" s="2991">
        <v>51344200</v>
      </c>
      <c r="J179" s="2991">
        <v>46309200</v>
      </c>
      <c r="K179" s="2833">
        <f>+K178+K170+K165+K161+K157+K153+K149+K108+K103+K100+K97+K92+K88+K81+K76+K55+K52+K47+K36+K30+K22+K16+K13+K9+K65+K61+K58+K73+K69+K40</f>
        <v>26127000</v>
      </c>
      <c r="L179" s="2834">
        <f t="shared" si="19"/>
        <v>-20182200</v>
      </c>
      <c r="M179" s="2850"/>
      <c r="N179" s="2886"/>
      <c r="O179" s="2160"/>
    </row>
    <row r="180" spans="1:15">
      <c r="A180" s="2896"/>
      <c r="B180" s="2847"/>
      <c r="C180" s="2847"/>
      <c r="D180" s="2887">
        <v>37319480</v>
      </c>
      <c r="E180" s="2887">
        <v>42048000</v>
      </c>
      <c r="F180" s="2887">
        <v>44558000</v>
      </c>
      <c r="G180" s="2887">
        <v>44558000</v>
      </c>
      <c r="H180" s="2887">
        <v>51344200</v>
      </c>
      <c r="I180" s="2887">
        <v>51344200</v>
      </c>
      <c r="J180" s="2887">
        <v>46309200</v>
      </c>
      <c r="K180" s="2887">
        <f>'Výdaje kapitol celkem'!K35</f>
        <v>26127000</v>
      </c>
      <c r="L180" s="2849"/>
      <c r="M180" s="2850"/>
      <c r="N180" s="2851"/>
    </row>
    <row r="181" spans="1:15" s="2889" customFormat="1">
      <c r="A181" s="2902"/>
      <c r="B181" s="2888"/>
      <c r="C181" s="2888" t="s">
        <v>217</v>
      </c>
      <c r="D181" s="2849">
        <v>0</v>
      </c>
      <c r="E181" s="2849">
        <v>0</v>
      </c>
      <c r="F181" s="2849">
        <v>0</v>
      </c>
      <c r="G181" s="2849">
        <v>0</v>
      </c>
      <c r="H181" s="2849">
        <v>0</v>
      </c>
      <c r="I181" s="2849">
        <v>0</v>
      </c>
      <c r="J181" s="2849">
        <v>0</v>
      </c>
      <c r="K181" s="2849">
        <f t="shared" ref="K181" si="27">+K179-K180</f>
        <v>0</v>
      </c>
      <c r="L181" s="2849"/>
      <c r="M181" s="2850"/>
      <c r="N181" s="2851"/>
    </row>
    <row r="182" spans="1:15">
      <c r="A182" s="2903" t="s">
        <v>545</v>
      </c>
    </row>
  </sheetData>
  <sheetProtection algorithmName="SHA-512" hashValue="p/1ezEVGxj8wJ1xlrBYKnxB07tCVR9UTfSZf3SV93HwvntKEIH7v7LE7Jx1ZEZEZiIvLMU2/oXv4fQOLxu3JOg==" saltValue="DWMQwt4CL2Cf6VLuHrDc8A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100:B100"/>
    <mergeCell ref="A103:B103"/>
    <mergeCell ref="A108:B108"/>
    <mergeCell ref="A149:B149"/>
    <mergeCell ref="A153:B153"/>
    <mergeCell ref="A157:B157"/>
    <mergeCell ref="A161:B161"/>
    <mergeCell ref="A165:B165"/>
    <mergeCell ref="A170:B170"/>
    <mergeCell ref="A174:B174"/>
    <mergeCell ref="A179:C179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78:B178"/>
    <mergeCell ref="A65:B65"/>
    <mergeCell ref="A88:B88"/>
    <mergeCell ref="A73:B73"/>
    <mergeCell ref="A97:B97"/>
    <mergeCell ref="A2:C2"/>
    <mergeCell ref="A76:B76"/>
    <mergeCell ref="A81:B81"/>
  </mergeCells>
  <pageMargins left="0.31496062992125984" right="0.31496062992125984" top="0.19685039370078741" bottom="0.19685039370078741" header="0.31496062992125984" footer="0.31496062992125984"/>
  <pageSetup paperSize="8" scale="91" fitToHeight="3" orientation="landscape" horizontalDpi="4294967293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O26"/>
  <sheetViews>
    <sheetView topLeftCell="C10" workbookViewId="0">
      <selection activeCell="L6" sqref="L6:L23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4" width="16.265625" style="316" hidden="1" customWidth="1"/>
    <col min="5" max="8" width="12.265625" style="316" hidden="1" customWidth="1"/>
    <col min="9" max="10" width="12.265625" style="316" customWidth="1"/>
    <col min="11" max="11" width="12.265625" style="318" bestFit="1" customWidth="1"/>
    <col min="12" max="12" width="10" style="319" customWidth="1"/>
    <col min="13" max="13" width="16.73046875" style="2768" customWidth="1"/>
    <col min="14" max="14" width="16.265625" style="2769" customWidth="1"/>
    <col min="15" max="16384" width="9" style="316"/>
  </cols>
  <sheetData>
    <row r="1" spans="1:15" s="2725" customFormat="1" ht="24" customHeight="1">
      <c r="A1" s="108" t="s">
        <v>2350</v>
      </c>
      <c r="B1" s="108"/>
      <c r="C1" s="2720"/>
      <c r="D1" s="2720"/>
      <c r="E1" s="2720"/>
      <c r="F1" s="2720"/>
      <c r="G1" s="2720"/>
      <c r="H1" s="2720"/>
      <c r="I1" s="2720"/>
      <c r="J1" s="2720"/>
      <c r="K1" s="2721"/>
      <c r="L1" s="2722"/>
      <c r="M1" s="2723"/>
      <c r="N1" s="2724"/>
    </row>
    <row r="2" spans="1:15" s="2730" customFormat="1" ht="20.25" customHeight="1">
      <c r="A2" s="3280" t="s">
        <v>1160</v>
      </c>
      <c r="B2" s="3280"/>
      <c r="C2" s="3281"/>
      <c r="D2" s="2969"/>
      <c r="E2" s="2969"/>
      <c r="F2" s="2969"/>
      <c r="G2" s="2969"/>
      <c r="H2" s="2969"/>
      <c r="I2" s="2969"/>
      <c r="J2" s="2969"/>
      <c r="K2" s="2726"/>
      <c r="L2" s="2727"/>
      <c r="M2" s="2728"/>
      <c r="N2" s="2729"/>
    </row>
    <row r="3" spans="1:15" ht="13.5" thickBo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330"/>
      <c r="L3" s="284"/>
      <c r="M3" s="2731"/>
      <c r="N3" s="1908"/>
    </row>
    <row r="4" spans="1:15" ht="27.4" thickBot="1">
      <c r="A4" s="2732" t="s">
        <v>1</v>
      </c>
      <c r="B4" s="2733" t="s">
        <v>63</v>
      </c>
      <c r="C4" s="2770" t="s">
        <v>6</v>
      </c>
      <c r="D4" s="2735" t="s">
        <v>2352</v>
      </c>
      <c r="E4" s="2735" t="s">
        <v>1934</v>
      </c>
      <c r="F4" s="2735" t="s">
        <v>2644</v>
      </c>
      <c r="G4" s="2735" t="s">
        <v>2766</v>
      </c>
      <c r="H4" s="2735" t="s">
        <v>2107</v>
      </c>
      <c r="I4" s="2735" t="s">
        <v>2830</v>
      </c>
      <c r="J4" s="2735" t="s">
        <v>2855</v>
      </c>
      <c r="K4" s="2735" t="s">
        <v>2923</v>
      </c>
      <c r="L4" s="2736" t="s">
        <v>5</v>
      </c>
      <c r="M4" s="2731"/>
      <c r="N4" s="1908" t="s">
        <v>707</v>
      </c>
    </row>
    <row r="5" spans="1:15" ht="15.75" customHeight="1" outlineLevel="1">
      <c r="A5" s="2737">
        <v>6171</v>
      </c>
      <c r="B5" s="2738">
        <v>5172</v>
      </c>
      <c r="C5" s="2771" t="s">
        <v>1928</v>
      </c>
      <c r="D5" s="2740">
        <v>2450000</v>
      </c>
      <c r="E5" s="2740">
        <v>2450000</v>
      </c>
      <c r="F5" s="2740">
        <v>2450000</v>
      </c>
      <c r="G5" s="2740">
        <v>2450000</v>
      </c>
      <c r="H5" s="2740">
        <v>2450000</v>
      </c>
      <c r="I5" s="2740">
        <v>2450000</v>
      </c>
      <c r="J5" s="2740">
        <v>2450000</v>
      </c>
      <c r="K5" s="2740">
        <f>+[2]Správa!$B$76</f>
        <v>2620000</v>
      </c>
      <c r="L5" s="2741">
        <f>+K5-J5</f>
        <v>170000</v>
      </c>
      <c r="M5" s="2731"/>
      <c r="N5" s="1908"/>
    </row>
    <row r="6" spans="1:15" ht="29.25" customHeight="1" outlineLevel="1">
      <c r="A6" s="2742">
        <v>6171</v>
      </c>
      <c r="B6" s="2743">
        <v>5172</v>
      </c>
      <c r="C6" s="2772" t="s">
        <v>1929</v>
      </c>
      <c r="D6" s="2745">
        <v>300000</v>
      </c>
      <c r="E6" s="2745">
        <v>300000</v>
      </c>
      <c r="F6" s="2745">
        <v>300000</v>
      </c>
      <c r="G6" s="2745">
        <v>300000</v>
      </c>
      <c r="H6" s="2745">
        <v>300000</v>
      </c>
      <c r="I6" s="2745">
        <v>300000</v>
      </c>
      <c r="J6" s="2745">
        <v>300000</v>
      </c>
      <c r="K6" s="2745">
        <f>+[2]Správa!$B$77</f>
        <v>300000</v>
      </c>
      <c r="L6" s="2746">
        <f t="shared" ref="L6:L23" si="0">+K6-J6</f>
        <v>0</v>
      </c>
      <c r="M6" s="2731"/>
      <c r="N6" s="1908"/>
    </row>
    <row r="7" spans="1:15" s="432" customFormat="1" ht="16.5" customHeight="1" thickBot="1">
      <c r="A7" s="3278" t="s">
        <v>213</v>
      </c>
      <c r="B7" s="3279"/>
      <c r="C7" s="2773"/>
      <c r="D7" s="2748">
        <v>2750000</v>
      </c>
      <c r="E7" s="2748">
        <v>2750000</v>
      </c>
      <c r="F7" s="2748">
        <v>2750000</v>
      </c>
      <c r="G7" s="2748">
        <v>2750000</v>
      </c>
      <c r="H7" s="2748">
        <v>2750000</v>
      </c>
      <c r="I7" s="2748">
        <v>2750000</v>
      </c>
      <c r="J7" s="2748">
        <v>2750000</v>
      </c>
      <c r="K7" s="2748">
        <f>SUM(K5:K6)</f>
        <v>2920000</v>
      </c>
      <c r="L7" s="2749">
        <f t="shared" si="0"/>
        <v>170000</v>
      </c>
      <c r="M7" s="285">
        <f>'Výdaje kapitol celkem'!T36</f>
        <v>2920000</v>
      </c>
      <c r="N7" s="2750">
        <f>+M7-K7</f>
        <v>0</v>
      </c>
      <c r="O7" s="329"/>
    </row>
    <row r="8" spans="1:15" ht="15.75" customHeight="1" outlineLevel="1">
      <c r="A8" s="2737">
        <v>4351</v>
      </c>
      <c r="B8" s="2738">
        <v>5172</v>
      </c>
      <c r="C8" s="2771" t="s">
        <v>1928</v>
      </c>
      <c r="D8" s="2740">
        <v>10000</v>
      </c>
      <c r="E8" s="2740">
        <v>10000</v>
      </c>
      <c r="F8" s="2740">
        <v>10000</v>
      </c>
      <c r="G8" s="2740">
        <v>10000</v>
      </c>
      <c r="H8" s="2740">
        <v>10000</v>
      </c>
      <c r="I8" s="2740">
        <v>10000</v>
      </c>
      <c r="J8" s="2740">
        <v>10000</v>
      </c>
      <c r="K8" s="2740">
        <f>+'[2]Pečovatelská služba'!$B$67</f>
        <v>10000</v>
      </c>
      <c r="L8" s="2741">
        <f t="shared" si="0"/>
        <v>0</v>
      </c>
      <c r="M8" s="2731"/>
      <c r="N8" s="2750"/>
      <c r="O8" s="329"/>
    </row>
    <row r="9" spans="1:15" ht="15.75" customHeight="1" outlineLevel="1">
      <c r="A9" s="2742">
        <v>4351</v>
      </c>
      <c r="B9" s="2743">
        <v>5137</v>
      </c>
      <c r="C9" s="2772"/>
      <c r="D9" s="2745">
        <v>0</v>
      </c>
      <c r="E9" s="2745">
        <v>0</v>
      </c>
      <c r="F9" s="2745">
        <v>0</v>
      </c>
      <c r="G9" s="2745">
        <v>0</v>
      </c>
      <c r="H9" s="2745">
        <v>0</v>
      </c>
      <c r="I9" s="2745">
        <v>0</v>
      </c>
      <c r="J9" s="2745">
        <v>0</v>
      </c>
      <c r="K9" s="2745">
        <f>+'[2]Pečovatelská služba'!$B$68</f>
        <v>0</v>
      </c>
      <c r="L9" s="2751">
        <f t="shared" si="0"/>
        <v>0</v>
      </c>
      <c r="M9" s="2731"/>
      <c r="N9" s="2750"/>
      <c r="O9" s="329"/>
    </row>
    <row r="10" spans="1:15" s="432" customFormat="1" ht="16.5" customHeight="1" thickBot="1">
      <c r="A10" s="3278" t="s">
        <v>214</v>
      </c>
      <c r="B10" s="3279"/>
      <c r="C10" s="2773"/>
      <c r="D10" s="2748">
        <v>10000</v>
      </c>
      <c r="E10" s="2748">
        <v>10000</v>
      </c>
      <c r="F10" s="2748">
        <v>10000</v>
      </c>
      <c r="G10" s="2748">
        <v>10000</v>
      </c>
      <c r="H10" s="2748">
        <v>10000</v>
      </c>
      <c r="I10" s="2748">
        <v>10000</v>
      </c>
      <c r="J10" s="2748">
        <v>10000</v>
      </c>
      <c r="K10" s="2748">
        <f>SUM(K8:K9)</f>
        <v>10000</v>
      </c>
      <c r="L10" s="2749">
        <f t="shared" si="0"/>
        <v>0</v>
      </c>
      <c r="M10" s="285">
        <f>'Výdaje kapitol celkem'!Y36</f>
        <v>10000</v>
      </c>
      <c r="N10" s="2750">
        <f>+M10-K10</f>
        <v>0</v>
      </c>
      <c r="O10" s="329"/>
    </row>
    <row r="11" spans="1:15" ht="15.75" customHeight="1" outlineLevel="1">
      <c r="A11" s="2737" t="s">
        <v>197</v>
      </c>
      <c r="B11" s="2738">
        <v>5172</v>
      </c>
      <c r="C11" s="2771" t="s">
        <v>1930</v>
      </c>
      <c r="D11" s="2740">
        <v>200000</v>
      </c>
      <c r="E11" s="2740">
        <v>200000</v>
      </c>
      <c r="F11" s="2740">
        <v>200000</v>
      </c>
      <c r="G11" s="2740">
        <v>200000</v>
      </c>
      <c r="H11" s="2740">
        <v>200000</v>
      </c>
      <c r="I11" s="2740">
        <v>200000</v>
      </c>
      <c r="J11" s="2740">
        <v>200000</v>
      </c>
      <c r="K11" s="2740">
        <f>+'[2]Městská policie'!$B$94</f>
        <v>170000</v>
      </c>
      <c r="L11" s="2741">
        <f t="shared" si="0"/>
        <v>-30000</v>
      </c>
      <c r="M11" s="2731"/>
      <c r="N11" s="2750"/>
      <c r="O11" s="329"/>
    </row>
    <row r="12" spans="1:15" ht="15.75" customHeight="1" outlineLevel="1">
      <c r="A12" s="2742" t="s">
        <v>197</v>
      </c>
      <c r="B12" s="2743">
        <v>5172</v>
      </c>
      <c r="C12" s="2772"/>
      <c r="D12" s="2745">
        <v>0</v>
      </c>
      <c r="E12" s="2745">
        <v>0</v>
      </c>
      <c r="F12" s="2745">
        <v>0</v>
      </c>
      <c r="G12" s="2745">
        <v>0</v>
      </c>
      <c r="H12" s="2745">
        <v>0</v>
      </c>
      <c r="I12" s="2745">
        <v>0</v>
      </c>
      <c r="J12" s="2745">
        <v>0</v>
      </c>
      <c r="K12" s="2745">
        <f>+'[2]Městská policie'!$B$93</f>
        <v>0</v>
      </c>
      <c r="L12" s="2746">
        <f t="shared" si="0"/>
        <v>0</v>
      </c>
      <c r="M12" s="2731"/>
      <c r="N12" s="2750"/>
      <c r="O12" s="329"/>
    </row>
    <row r="13" spans="1:15" s="432" customFormat="1" ht="16.5" customHeight="1" thickBot="1">
      <c r="A13" s="3278" t="s">
        <v>1169</v>
      </c>
      <c r="B13" s="3279"/>
      <c r="C13" s="2773"/>
      <c r="D13" s="2748">
        <v>200000</v>
      </c>
      <c r="E13" s="2748">
        <v>200000</v>
      </c>
      <c r="F13" s="2748">
        <v>200000</v>
      </c>
      <c r="G13" s="2748">
        <v>200000</v>
      </c>
      <c r="H13" s="2748">
        <v>200000</v>
      </c>
      <c r="I13" s="2748">
        <v>200000</v>
      </c>
      <c r="J13" s="2748">
        <v>200000</v>
      </c>
      <c r="K13" s="2748">
        <f>SUM(K11:K12)</f>
        <v>170000</v>
      </c>
      <c r="L13" s="2749">
        <f t="shared" si="0"/>
        <v>-30000</v>
      </c>
      <c r="M13" s="285">
        <f>'Výdaje kapitol celkem'!AB36</f>
        <v>170000</v>
      </c>
      <c r="N13" s="2750">
        <f>+M13-K13</f>
        <v>0</v>
      </c>
      <c r="O13" s="329"/>
    </row>
    <row r="14" spans="1:15" ht="15.75" customHeight="1" outlineLevel="1">
      <c r="A14" s="2737">
        <v>3319</v>
      </c>
      <c r="B14" s="2738">
        <v>5172</v>
      </c>
      <c r="C14" s="2771" t="s">
        <v>1931</v>
      </c>
      <c r="D14" s="2740">
        <v>8000</v>
      </c>
      <c r="E14" s="2740">
        <v>8000</v>
      </c>
      <c r="F14" s="2740">
        <v>8000</v>
      </c>
      <c r="G14" s="2740">
        <v>8000</v>
      </c>
      <c r="H14" s="2740">
        <v>8000</v>
      </c>
      <c r="I14" s="2740">
        <v>8000</v>
      </c>
      <c r="J14" s="2740">
        <v>8000</v>
      </c>
      <c r="K14" s="2740">
        <f>+[2]Kronika!$B$26</f>
        <v>6000</v>
      </c>
      <c r="L14" s="2741">
        <f t="shared" si="0"/>
        <v>-2000</v>
      </c>
      <c r="M14" s="2731"/>
      <c r="N14" s="2750"/>
      <c r="O14" s="329"/>
    </row>
    <row r="15" spans="1:15" ht="15.75" customHeight="1" outlineLevel="1">
      <c r="A15" s="2742">
        <v>3319</v>
      </c>
      <c r="B15" s="2743">
        <v>5137</v>
      </c>
      <c r="C15" s="2772"/>
      <c r="D15" s="2745">
        <v>0</v>
      </c>
      <c r="E15" s="2745">
        <v>0</v>
      </c>
      <c r="F15" s="2745">
        <v>0</v>
      </c>
      <c r="G15" s="2745">
        <v>0</v>
      </c>
      <c r="H15" s="2745">
        <v>0</v>
      </c>
      <c r="I15" s="2745">
        <v>0</v>
      </c>
      <c r="J15" s="2745">
        <v>0</v>
      </c>
      <c r="K15" s="2745">
        <f>+[2]Kronika!$B$27</f>
        <v>0</v>
      </c>
      <c r="L15" s="2751">
        <f t="shared" si="0"/>
        <v>0</v>
      </c>
      <c r="M15" s="2731"/>
      <c r="N15" s="2750"/>
      <c r="O15" s="329"/>
    </row>
    <row r="16" spans="1:15" s="432" customFormat="1" ht="16.5" customHeight="1" thickBot="1">
      <c r="A16" s="3278" t="s">
        <v>1168</v>
      </c>
      <c r="B16" s="3279"/>
      <c r="C16" s="2773"/>
      <c r="D16" s="2748">
        <v>8000</v>
      </c>
      <c r="E16" s="2748">
        <v>8000</v>
      </c>
      <c r="F16" s="2748">
        <v>8000</v>
      </c>
      <c r="G16" s="2748">
        <v>8000</v>
      </c>
      <c r="H16" s="2748">
        <v>8000</v>
      </c>
      <c r="I16" s="2748">
        <v>8000</v>
      </c>
      <c r="J16" s="2748">
        <v>8000</v>
      </c>
      <c r="K16" s="2748">
        <f>SUM(K14:K15)</f>
        <v>6000</v>
      </c>
      <c r="L16" s="2749">
        <f t="shared" si="0"/>
        <v>-2000</v>
      </c>
      <c r="M16" s="285">
        <f>'Výdaje kapitol celkem'!AC36</f>
        <v>6000</v>
      </c>
      <c r="N16" s="2750">
        <f>+M16-K16</f>
        <v>0</v>
      </c>
      <c r="O16" s="329"/>
    </row>
    <row r="17" spans="1:15" ht="15.75" customHeight="1" outlineLevel="1">
      <c r="A17" s="2737">
        <v>3314</v>
      </c>
      <c r="B17" s="2738">
        <v>5172</v>
      </c>
      <c r="C17" s="2771" t="s">
        <v>2405</v>
      </c>
      <c r="D17" s="2740">
        <v>30000</v>
      </c>
      <c r="E17" s="2740">
        <v>30000</v>
      </c>
      <c r="F17" s="2740">
        <v>30000</v>
      </c>
      <c r="G17" s="2740">
        <v>30000</v>
      </c>
      <c r="H17" s="2740">
        <v>30000</v>
      </c>
      <c r="I17" s="2740">
        <v>30000</v>
      </c>
      <c r="J17" s="2740">
        <v>30000</v>
      </c>
      <c r="K17" s="2740">
        <f>+[2]Knihovna!$B$76</f>
        <v>56000</v>
      </c>
      <c r="L17" s="2741">
        <f t="shared" si="0"/>
        <v>26000</v>
      </c>
      <c r="M17" s="2731"/>
      <c r="N17" s="2750"/>
      <c r="O17" s="329"/>
    </row>
    <row r="18" spans="1:15" ht="15.75" customHeight="1" outlineLevel="1">
      <c r="A18" s="2742">
        <v>3314</v>
      </c>
      <c r="B18" s="2743">
        <v>5172</v>
      </c>
      <c r="C18" s="2772"/>
      <c r="D18" s="2745"/>
      <c r="E18" s="2745"/>
      <c r="F18" s="2745"/>
      <c r="G18" s="2745"/>
      <c r="H18" s="2745"/>
      <c r="I18" s="2745"/>
      <c r="J18" s="2745"/>
      <c r="K18" s="2745"/>
      <c r="L18" s="2751">
        <f t="shared" si="0"/>
        <v>0</v>
      </c>
      <c r="M18" s="2731"/>
      <c r="N18" s="2750"/>
      <c r="O18" s="329"/>
    </row>
    <row r="19" spans="1:15" s="432" customFormat="1" ht="16.5" customHeight="1" thickBot="1">
      <c r="A19" s="3278" t="s">
        <v>1170</v>
      </c>
      <c r="B19" s="3279"/>
      <c r="C19" s="2773"/>
      <c r="D19" s="2748">
        <v>30000</v>
      </c>
      <c r="E19" s="2748">
        <v>30000</v>
      </c>
      <c r="F19" s="2748">
        <v>30000</v>
      </c>
      <c r="G19" s="2748">
        <v>30000</v>
      </c>
      <c r="H19" s="2748">
        <v>30000</v>
      </c>
      <c r="I19" s="2748">
        <v>30000</v>
      </c>
      <c r="J19" s="2748">
        <v>30000</v>
      </c>
      <c r="K19" s="2748">
        <f>SUM(K17:K18)</f>
        <v>56000</v>
      </c>
      <c r="L19" s="2749">
        <f t="shared" si="0"/>
        <v>26000</v>
      </c>
      <c r="M19" s="285">
        <f>'Výdaje kapitol celkem'!AF36</f>
        <v>56000</v>
      </c>
      <c r="N19" s="2750">
        <f>+M19-K19</f>
        <v>0</v>
      </c>
      <c r="O19" s="329"/>
    </row>
    <row r="20" spans="1:15" ht="20.25" customHeight="1" outlineLevel="1">
      <c r="A20" s="2742">
        <v>5512</v>
      </c>
      <c r="B20" s="2743">
        <v>5172</v>
      </c>
      <c r="C20" s="2771" t="s">
        <v>1928</v>
      </c>
      <c r="D20" s="2745">
        <v>30000</v>
      </c>
      <c r="E20" s="2745">
        <v>30000</v>
      </c>
      <c r="F20" s="2745">
        <v>30000</v>
      </c>
      <c r="G20" s="2745">
        <v>30000</v>
      </c>
      <c r="H20" s="2745">
        <v>30000</v>
      </c>
      <c r="I20" s="2745">
        <v>30000</v>
      </c>
      <c r="J20" s="2745">
        <v>30000</v>
      </c>
      <c r="K20" s="2745">
        <f>+[2]Hasiči!$B$69</f>
        <v>0</v>
      </c>
      <c r="L20" s="2751">
        <f t="shared" si="0"/>
        <v>-30000</v>
      </c>
      <c r="M20" s="2731"/>
      <c r="N20" s="2750"/>
      <c r="O20" s="329"/>
    </row>
    <row r="21" spans="1:15" ht="20.25" customHeight="1" outlineLevel="1">
      <c r="A21" s="2742">
        <v>5512</v>
      </c>
      <c r="B21" s="2743">
        <v>5137</v>
      </c>
      <c r="C21" s="2772"/>
      <c r="D21" s="2745">
        <v>0</v>
      </c>
      <c r="E21" s="2745">
        <v>0</v>
      </c>
      <c r="F21" s="2745">
        <v>0</v>
      </c>
      <c r="G21" s="2745">
        <v>0</v>
      </c>
      <c r="H21" s="2745">
        <v>0</v>
      </c>
      <c r="I21" s="2745">
        <v>0</v>
      </c>
      <c r="J21" s="2745">
        <v>0</v>
      </c>
      <c r="K21" s="2745">
        <f>+[2]Hasiči!$B$70</f>
        <v>0</v>
      </c>
      <c r="L21" s="2751">
        <f t="shared" si="0"/>
        <v>0</v>
      </c>
      <c r="M21" s="2731"/>
      <c r="N21" s="2750"/>
      <c r="O21" s="329"/>
    </row>
    <row r="22" spans="1:15" ht="20.25" customHeight="1" thickBot="1">
      <c r="A22" s="3278" t="s">
        <v>203</v>
      </c>
      <c r="B22" s="3279"/>
      <c r="C22" s="2773"/>
      <c r="D22" s="2748">
        <v>30000</v>
      </c>
      <c r="E22" s="2748">
        <v>30000</v>
      </c>
      <c r="F22" s="2748">
        <v>30000</v>
      </c>
      <c r="G22" s="2748">
        <v>30000</v>
      </c>
      <c r="H22" s="2748">
        <v>30000</v>
      </c>
      <c r="I22" s="2748">
        <v>30000</v>
      </c>
      <c r="J22" s="2748">
        <v>30000</v>
      </c>
      <c r="K22" s="2748">
        <f>SUM(K20:K21)</f>
        <v>0</v>
      </c>
      <c r="L22" s="2749">
        <f t="shared" si="0"/>
        <v>-30000</v>
      </c>
      <c r="M22" s="285">
        <f>'Výdaje kapitol celkem'!AR36</f>
        <v>0</v>
      </c>
      <c r="N22" s="2750">
        <f>+M22-K22</f>
        <v>0</v>
      </c>
      <c r="O22" s="329"/>
    </row>
    <row r="23" spans="1:15" s="281" customFormat="1" ht="16.5" thickBot="1">
      <c r="A23" s="3282" t="s">
        <v>1161</v>
      </c>
      <c r="B23" s="3283"/>
      <c r="C23" s="3300"/>
      <c r="D23" s="2764">
        <v>3028000</v>
      </c>
      <c r="E23" s="2764">
        <v>3028000</v>
      </c>
      <c r="F23" s="2764">
        <v>3028000</v>
      </c>
      <c r="G23" s="2764">
        <v>3028000</v>
      </c>
      <c r="H23" s="2764">
        <v>3028000</v>
      </c>
      <c r="I23" s="2764">
        <v>3028000</v>
      </c>
      <c r="J23" s="2764">
        <v>3028000</v>
      </c>
      <c r="K23" s="2764">
        <f>+K22+K19+K16+K13+K10+K7</f>
        <v>3162000</v>
      </c>
      <c r="L23" s="2765">
        <f t="shared" si="0"/>
        <v>134000</v>
      </c>
      <c r="M23" s="2766"/>
      <c r="N23" s="2767"/>
      <c r="O23" s="329"/>
    </row>
    <row r="24" spans="1:15">
      <c r="A24" s="109"/>
      <c r="B24" s="109"/>
      <c r="C24" s="109"/>
      <c r="D24" s="190">
        <v>3028000</v>
      </c>
      <c r="E24" s="190">
        <v>3028000</v>
      </c>
      <c r="F24" s="190">
        <v>3028000</v>
      </c>
      <c r="G24" s="190">
        <v>3028000</v>
      </c>
      <c r="H24" s="190">
        <v>3028000</v>
      </c>
      <c r="I24" s="190">
        <v>3028000</v>
      </c>
      <c r="J24" s="190">
        <v>3028000</v>
      </c>
      <c r="K24" s="190">
        <f>'Výdaje kapitol celkem'!K36</f>
        <v>3162000</v>
      </c>
      <c r="L24" s="284"/>
      <c r="M24" s="2731"/>
      <c r="N24" s="1908"/>
    </row>
    <row r="25" spans="1:15" s="323" customFormat="1">
      <c r="A25" s="180"/>
      <c r="B25" s="180"/>
      <c r="C25" s="180" t="s">
        <v>217</v>
      </c>
      <c r="D25" s="180">
        <v>0</v>
      </c>
      <c r="E25" s="180">
        <v>0</v>
      </c>
      <c r="F25" s="180">
        <v>0</v>
      </c>
      <c r="G25" s="180">
        <v>0</v>
      </c>
      <c r="H25" s="180">
        <v>0</v>
      </c>
      <c r="I25" s="180">
        <v>0</v>
      </c>
      <c r="J25" s="180">
        <v>0</v>
      </c>
      <c r="K25" s="284">
        <f>+K24-K23</f>
        <v>0</v>
      </c>
      <c r="L25" s="284"/>
      <c r="M25" s="2731"/>
      <c r="N25" s="1908"/>
    </row>
    <row r="26" spans="1:15">
      <c r="A26" s="2713" t="s">
        <v>545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90"/>
      <c r="L26" s="284"/>
      <c r="M26" s="2731"/>
      <c r="N26" s="1908"/>
    </row>
  </sheetData>
  <sheetProtection algorithmName="SHA-512" hashValue="Eh9bPGzgm8FOlHQhTiwpYkuNy7efeclfDubb8jIaziAM72wxkNhZrR7U+Hq356Gv7QLpE+4OzZjQkRLUTUMysg==" saltValue="UO5IceOBFZFepfTUZ8+3KA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363</v>
      </c>
    </row>
    <row r="4" spans="1:5" ht="14.25">
      <c r="A4" s="1219" t="s">
        <v>1444</v>
      </c>
      <c r="B4" s="1219" t="s">
        <v>1445</v>
      </c>
      <c r="C4" s="1219" t="s">
        <v>1446</v>
      </c>
      <c r="D4" s="24" t="s">
        <v>243</v>
      </c>
      <c r="E4" s="32" t="s">
        <v>708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2317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12"/>
      <c r="B19" s="1222"/>
      <c r="C19" s="1222"/>
      <c r="D19" s="1222"/>
    </row>
    <row r="20" spans="1:5" ht="14.25">
      <c r="A20" s="1912"/>
      <c r="B20" s="1222"/>
      <c r="C20" s="1222"/>
      <c r="D20" s="1222"/>
    </row>
    <row r="21" spans="1:5" ht="14.25">
      <c r="A21" s="1912"/>
      <c r="B21" s="1222"/>
      <c r="C21" s="1222"/>
      <c r="D21" s="1222"/>
    </row>
    <row r="22" spans="1:5" ht="14.25">
      <c r="A22" s="1912"/>
      <c r="B22" s="1222"/>
      <c r="C22" s="1222"/>
      <c r="D22" s="1222"/>
    </row>
    <row r="23" spans="1:5" ht="14.25">
      <c r="A23" s="1912"/>
      <c r="B23" s="1222"/>
      <c r="C23" s="1222"/>
      <c r="D23" s="1222"/>
    </row>
    <row r="26" spans="1:5" ht="14.25">
      <c r="A26" s="1219" t="s">
        <v>1444</v>
      </c>
      <c r="B26" s="1219" t="s">
        <v>1447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M12"/>
  <sheetViews>
    <sheetView workbookViewId="0">
      <selection activeCell="C18" sqref="C18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4" width="16" style="316" hidden="1" customWidth="1"/>
    <col min="5" max="8" width="10.73046875" style="316" hidden="1" customWidth="1"/>
    <col min="9" max="10" width="10.73046875" style="316" customWidth="1"/>
    <col min="11" max="11" width="10.73046875" style="316" bestFit="1" customWidth="1"/>
    <col min="12" max="12" width="11.265625" style="316" bestFit="1" customWidth="1"/>
    <col min="13" max="13" width="23.73046875" style="316" customWidth="1"/>
    <col min="14" max="16384" width="9" style="316"/>
  </cols>
  <sheetData>
    <row r="1" spans="1:13" ht="16.149999999999999">
      <c r="A1" s="108" t="s">
        <v>2350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</row>
    <row r="2" spans="1:13" ht="27">
      <c r="A2" s="2905" t="s">
        <v>2371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spans="1:13" ht="13.9" thickBot="1">
      <c r="A3" s="278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2788" customFormat="1" ht="27.4" thickBot="1">
      <c r="A4" s="2732" t="s">
        <v>1</v>
      </c>
      <c r="B4" s="2733" t="s">
        <v>63</v>
      </c>
      <c r="C4" s="2992" t="s">
        <v>6</v>
      </c>
      <c r="D4" s="2785" t="s">
        <v>2352</v>
      </c>
      <c r="E4" s="2785" t="s">
        <v>1934</v>
      </c>
      <c r="F4" s="2785" t="s">
        <v>2644</v>
      </c>
      <c r="G4" s="2785" t="s">
        <v>2766</v>
      </c>
      <c r="H4" s="2785" t="s">
        <v>2107</v>
      </c>
      <c r="I4" s="2785" t="s">
        <v>2830</v>
      </c>
      <c r="J4" s="2785" t="s">
        <v>2855</v>
      </c>
      <c r="K4" s="2785" t="s">
        <v>2923</v>
      </c>
      <c r="L4" s="2786" t="s">
        <v>5</v>
      </c>
      <c r="M4" s="2787" t="s">
        <v>548</v>
      </c>
    </row>
    <row r="5" spans="1:13" s="2481" customFormat="1">
      <c r="A5" s="2789"/>
      <c r="B5" s="2790">
        <v>5329</v>
      </c>
      <c r="C5" s="2993" t="s">
        <v>2373</v>
      </c>
      <c r="D5" s="2792">
        <v>144560</v>
      </c>
      <c r="E5" s="2792">
        <v>144560</v>
      </c>
      <c r="F5" s="2792">
        <v>144560</v>
      </c>
      <c r="G5" s="2792">
        <v>144560</v>
      </c>
      <c r="H5" s="2792">
        <v>144560</v>
      </c>
      <c r="I5" s="2792">
        <v>144560</v>
      </c>
      <c r="J5" s="2792">
        <v>144560</v>
      </c>
      <c r="K5" s="2792">
        <f>+'[7]Všebecná pokladna'!$D$50</f>
        <v>197297</v>
      </c>
      <c r="L5" s="2793">
        <f>+K5-J5</f>
        <v>52737</v>
      </c>
      <c r="M5" s="2787"/>
    </row>
    <row r="6" spans="1:13">
      <c r="A6" s="2742"/>
      <c r="B6" s="2743">
        <v>5329</v>
      </c>
      <c r="C6" s="2994" t="s">
        <v>2374</v>
      </c>
      <c r="D6" s="2794">
        <v>1445600</v>
      </c>
      <c r="E6" s="2794">
        <v>1445600</v>
      </c>
      <c r="F6" s="2794">
        <v>1445600</v>
      </c>
      <c r="G6" s="2794">
        <v>1445600</v>
      </c>
      <c r="H6" s="2794">
        <v>1445600</v>
      </c>
      <c r="I6" s="2794">
        <v>1445600</v>
      </c>
      <c r="J6" s="2794">
        <v>1445600</v>
      </c>
      <c r="K6" s="2794">
        <f>+'[7]Všebecná pokladna'!$D$51</f>
        <v>1812973</v>
      </c>
      <c r="L6" s="2795">
        <f t="shared" ref="L6:L9" si="0">+K6-J6</f>
        <v>367373</v>
      </c>
      <c r="M6" s="2906"/>
    </row>
    <row r="7" spans="1:13">
      <c r="A7" s="2742"/>
      <c r="B7" s="2743">
        <v>5329</v>
      </c>
      <c r="C7" s="2994" t="s">
        <v>2375</v>
      </c>
      <c r="D7" s="2794">
        <v>1084200</v>
      </c>
      <c r="E7" s="2794">
        <v>1084200</v>
      </c>
      <c r="F7" s="2794">
        <v>1084200</v>
      </c>
      <c r="G7" s="2794">
        <v>1084200</v>
      </c>
      <c r="H7" s="2794">
        <v>1084200</v>
      </c>
      <c r="I7" s="2794">
        <v>1084200</v>
      </c>
      <c r="J7" s="2794">
        <v>1084200</v>
      </c>
      <c r="K7" s="2794">
        <f>+'[7]Všebecná pokladna'!$D$52</f>
        <v>1369730</v>
      </c>
      <c r="L7" s="2795">
        <f t="shared" si="0"/>
        <v>285530</v>
      </c>
      <c r="M7" s="2731"/>
    </row>
    <row r="8" spans="1:13">
      <c r="A8" s="2742"/>
      <c r="B8" s="2743">
        <v>5329</v>
      </c>
      <c r="C8" s="2995" t="s">
        <v>2619</v>
      </c>
      <c r="D8" s="2745">
        <v>1600000</v>
      </c>
      <c r="E8" s="2745">
        <v>1600000</v>
      </c>
      <c r="F8" s="2745">
        <v>1600000</v>
      </c>
      <c r="G8" s="2745">
        <v>1600000</v>
      </c>
      <c r="H8" s="2745">
        <v>1600000</v>
      </c>
      <c r="I8" s="2745">
        <v>1600000</v>
      </c>
      <c r="J8" s="2745">
        <v>0</v>
      </c>
      <c r="K8" s="2745">
        <v>1062000</v>
      </c>
      <c r="L8" s="2795">
        <f t="shared" si="0"/>
        <v>1062000</v>
      </c>
      <c r="M8" s="109"/>
    </row>
    <row r="9" spans="1:13" ht="19.5" customHeight="1" thickBot="1">
      <c r="A9" s="3286" t="s">
        <v>2372</v>
      </c>
      <c r="B9" s="3287"/>
      <c r="C9" s="2996"/>
      <c r="D9" s="2799">
        <v>4274360</v>
      </c>
      <c r="E9" s="2799">
        <v>4274360</v>
      </c>
      <c r="F9" s="2799">
        <v>4274360</v>
      </c>
      <c r="G9" s="2799">
        <v>4274360</v>
      </c>
      <c r="H9" s="2799">
        <v>4274360</v>
      </c>
      <c r="I9" s="2799">
        <v>4274360</v>
      </c>
      <c r="J9" s="2799">
        <v>2674360</v>
      </c>
      <c r="K9" s="2799">
        <f>SUM(K5:K8)</f>
        <v>4442000</v>
      </c>
      <c r="L9" s="2800">
        <f t="shared" si="0"/>
        <v>1767640</v>
      </c>
      <c r="M9" s="109"/>
    </row>
    <row r="10" spans="1:13">
      <c r="A10" s="109"/>
      <c r="B10" s="109"/>
      <c r="C10" s="109"/>
      <c r="D10" s="190">
        <v>4274360</v>
      </c>
      <c r="E10" s="190">
        <v>4274360</v>
      </c>
      <c r="F10" s="190">
        <v>4274360</v>
      </c>
      <c r="G10" s="190">
        <v>4274360</v>
      </c>
      <c r="H10" s="190">
        <v>4274360</v>
      </c>
      <c r="I10" s="190">
        <v>4274360</v>
      </c>
      <c r="J10" s="190">
        <v>2674360</v>
      </c>
      <c r="K10" s="190">
        <f>+'Výdaje kapitol celkem'!K44</f>
        <v>4442000</v>
      </c>
      <c r="L10" s="109"/>
      <c r="M10" s="109"/>
    </row>
    <row r="11" spans="1:13" s="323" customFormat="1">
      <c r="A11" s="180"/>
      <c r="B11" s="180"/>
      <c r="C11" s="180" t="s">
        <v>236</v>
      </c>
      <c r="D11" s="180">
        <v>0</v>
      </c>
      <c r="E11" s="180">
        <v>0</v>
      </c>
      <c r="F11" s="180">
        <v>0</v>
      </c>
      <c r="G11" s="180">
        <v>0</v>
      </c>
      <c r="H11" s="180">
        <v>0</v>
      </c>
      <c r="I11" s="180">
        <v>0</v>
      </c>
      <c r="J11" s="180">
        <v>0</v>
      </c>
      <c r="K11" s="284">
        <f>+K10-K9</f>
        <v>0</v>
      </c>
      <c r="L11" s="180"/>
      <c r="M11" s="180"/>
    </row>
    <row r="12" spans="1:13" s="323" customFormat="1">
      <c r="A12" s="2713" t="s">
        <v>545</v>
      </c>
      <c r="B12" s="180"/>
      <c r="C12" s="180"/>
      <c r="D12" s="180"/>
      <c r="E12" s="180"/>
      <c r="F12" s="180"/>
      <c r="G12" s="180"/>
      <c r="H12" s="180"/>
      <c r="I12" s="180"/>
      <c r="J12" s="180"/>
      <c r="K12" s="284"/>
      <c r="L12" s="180"/>
      <c r="M12" s="180"/>
    </row>
  </sheetData>
  <sheetProtection algorithmName="SHA-512" hashValue="U/bekOkTu3oOXUZOsoM1CscUK3H7mB3DzR2j3ODQdauJY93bMoZvv+ppT6QGtiVE4L/tlR4gmsuybLBkGoT+WA==" saltValue="7RYONcph2bKpmj5ozQTY9A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O166"/>
  <sheetViews>
    <sheetView workbookViewId="0">
      <selection activeCell="K18" sqref="K18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7.59765625" style="316" hidden="1" customWidth="1"/>
    <col min="5" max="8" width="11.59765625" style="316" hidden="1" customWidth="1"/>
    <col min="9" max="10" width="11.59765625" style="316" customWidth="1"/>
    <col min="11" max="11" width="11.59765625" style="316" bestFit="1" customWidth="1"/>
    <col min="12" max="12" width="11" style="316" customWidth="1"/>
    <col min="13" max="13" width="11.59765625" style="433" bestFit="1" customWidth="1"/>
    <col min="14" max="14" width="14" style="2769" bestFit="1" customWidth="1"/>
    <col min="15" max="15" width="23.73046875" style="316" customWidth="1"/>
    <col min="16" max="16384" width="9" style="316"/>
  </cols>
  <sheetData>
    <row r="1" spans="1:15" ht="16.149999999999999">
      <c r="A1" s="108" t="s">
        <v>2350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2907"/>
      <c r="N1" s="2724"/>
      <c r="O1" s="109"/>
    </row>
    <row r="2" spans="1:15" ht="13.5">
      <c r="A2" s="2783" t="s">
        <v>97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2907"/>
      <c r="N2" s="2724"/>
      <c r="O2" s="109"/>
    </row>
    <row r="3" spans="1:15" ht="13.9" thickBot="1">
      <c r="A3" s="278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2908"/>
      <c r="N3" s="2729"/>
      <c r="O3" s="109"/>
    </row>
    <row r="4" spans="1:15" s="2788" customFormat="1" ht="27.4" thickBot="1">
      <c r="A4" s="2732" t="s">
        <v>1</v>
      </c>
      <c r="B4" s="2733" t="s">
        <v>63</v>
      </c>
      <c r="C4" s="2992" t="s">
        <v>6</v>
      </c>
      <c r="D4" s="2997" t="s">
        <v>2352</v>
      </c>
      <c r="E4" s="2997" t="s">
        <v>1934</v>
      </c>
      <c r="F4" s="2997" t="s">
        <v>2644</v>
      </c>
      <c r="G4" s="2997" t="s">
        <v>2766</v>
      </c>
      <c r="H4" s="2997" t="s">
        <v>2107</v>
      </c>
      <c r="I4" s="2997" t="s">
        <v>2830</v>
      </c>
      <c r="J4" s="2997" t="s">
        <v>2855</v>
      </c>
      <c r="K4" s="2785" t="s">
        <v>2923</v>
      </c>
      <c r="L4" s="2786" t="s">
        <v>5</v>
      </c>
      <c r="M4" s="2909" t="s">
        <v>762</v>
      </c>
      <c r="N4" s="2910" t="s">
        <v>707</v>
      </c>
      <c r="O4" s="2787" t="s">
        <v>548</v>
      </c>
    </row>
    <row r="5" spans="1:15" s="2481" customFormat="1" ht="24" customHeight="1">
      <c r="A5" s="2789">
        <v>3113</v>
      </c>
      <c r="B5" s="2790">
        <v>5331</v>
      </c>
      <c r="C5" s="2993" t="s">
        <v>145</v>
      </c>
      <c r="D5" s="2792">
        <v>18012224</v>
      </c>
      <c r="E5" s="2792">
        <v>18012224</v>
      </c>
      <c r="F5" s="2792">
        <v>18012224</v>
      </c>
      <c r="G5" s="2792">
        <v>18012224</v>
      </c>
      <c r="H5" s="2792">
        <v>18012224</v>
      </c>
      <c r="I5" s="2792">
        <v>18012224</v>
      </c>
      <c r="J5" s="2792">
        <v>18175624</v>
      </c>
      <c r="K5" s="2792">
        <f>18175624+2524376</f>
        <v>20700000</v>
      </c>
      <c r="L5" s="2793">
        <f>+K5-J5</f>
        <v>2524376</v>
      </c>
      <c r="M5" s="288">
        <f>'Výdaje kapitol celkem'!BG45</f>
        <v>20700000</v>
      </c>
      <c r="N5" s="2911">
        <f t="shared" ref="N5:N11" si="0">+M5-K5</f>
        <v>0</v>
      </c>
      <c r="O5" s="2787"/>
    </row>
    <row r="6" spans="1:15" ht="24" customHeight="1">
      <c r="A6" s="2742" t="s">
        <v>248</v>
      </c>
      <c r="B6" s="2743">
        <v>5331</v>
      </c>
      <c r="C6" s="2744" t="s">
        <v>248</v>
      </c>
      <c r="D6" s="2794">
        <v>30900000</v>
      </c>
      <c r="E6" s="2794">
        <v>30900000</v>
      </c>
      <c r="F6" s="2794">
        <v>30900000</v>
      </c>
      <c r="G6" s="2794">
        <v>30900000</v>
      </c>
      <c r="H6" s="2794">
        <v>30900000</v>
      </c>
      <c r="I6" s="2794">
        <v>30900000</v>
      </c>
      <c r="J6" s="2794">
        <v>30900000</v>
      </c>
      <c r="K6" s="2794">
        <v>30900000</v>
      </c>
      <c r="L6" s="2795">
        <f t="shared" ref="L6:L12" si="1">+K6-J6</f>
        <v>0</v>
      </c>
      <c r="M6" s="288">
        <f>'Výdaje kapitol celkem'!X45</f>
        <v>30900000</v>
      </c>
      <c r="N6" s="2911">
        <f>+M6-K6</f>
        <v>0</v>
      </c>
      <c r="O6" s="2126"/>
    </row>
    <row r="7" spans="1:15" ht="24" customHeight="1">
      <c r="A7" s="2742">
        <v>3421</v>
      </c>
      <c r="B7" s="2743">
        <v>5331</v>
      </c>
      <c r="C7" s="2744" t="s">
        <v>147</v>
      </c>
      <c r="D7" s="2794">
        <v>600000</v>
      </c>
      <c r="E7" s="2794">
        <v>650000</v>
      </c>
      <c r="F7" s="2794">
        <v>650000</v>
      </c>
      <c r="G7" s="2794">
        <v>650000</v>
      </c>
      <c r="H7" s="2794">
        <v>650000</v>
      </c>
      <c r="I7" s="2794">
        <v>650000</v>
      </c>
      <c r="J7" s="2794">
        <v>1402400</v>
      </c>
      <c r="K7" s="2794">
        <v>1402400</v>
      </c>
      <c r="L7" s="2795">
        <f t="shared" si="1"/>
        <v>0</v>
      </c>
      <c r="M7" s="288">
        <f>'Výdaje kapitol celkem'!BP45</f>
        <v>1402400</v>
      </c>
      <c r="N7" s="2911">
        <f t="shared" si="0"/>
        <v>0</v>
      </c>
      <c r="O7" s="2731"/>
    </row>
    <row r="8" spans="1:15" ht="24" customHeight="1">
      <c r="A8" s="2742" t="s">
        <v>173</v>
      </c>
      <c r="B8" s="2743">
        <v>5331</v>
      </c>
      <c r="C8" s="2744" t="s">
        <v>768</v>
      </c>
      <c r="D8" s="2794">
        <v>4274000</v>
      </c>
      <c r="E8" s="2794">
        <v>4274000</v>
      </c>
      <c r="F8" s="2794">
        <v>4274000</v>
      </c>
      <c r="G8" s="2794">
        <v>4274000</v>
      </c>
      <c r="H8" s="2794">
        <v>4274000</v>
      </c>
      <c r="I8" s="2794">
        <v>4274000</v>
      </c>
      <c r="J8" s="2794">
        <v>5006731</v>
      </c>
      <c r="K8" s="2794">
        <v>5006731</v>
      </c>
      <c r="L8" s="2795">
        <f t="shared" si="1"/>
        <v>0</v>
      </c>
      <c r="M8" s="288">
        <f>'Výdaje kapitol celkem'!BV45</f>
        <v>5006731</v>
      </c>
      <c r="N8" s="2911">
        <f t="shared" si="0"/>
        <v>0</v>
      </c>
      <c r="O8" s="109"/>
    </row>
    <row r="9" spans="1:15" ht="24" hidden="1" customHeight="1">
      <c r="A9" s="2742" t="s">
        <v>174</v>
      </c>
      <c r="B9" s="2743">
        <v>5331</v>
      </c>
      <c r="C9" s="2744" t="s">
        <v>769</v>
      </c>
      <c r="D9" s="2794">
        <v>0</v>
      </c>
      <c r="E9" s="2794">
        <v>0</v>
      </c>
      <c r="F9" s="2794">
        <v>0</v>
      </c>
      <c r="G9" s="2794">
        <v>0</v>
      </c>
      <c r="H9" s="2794">
        <v>0</v>
      </c>
      <c r="I9" s="2794">
        <v>0</v>
      </c>
      <c r="J9" s="2794">
        <v>0</v>
      </c>
      <c r="K9" s="2794">
        <v>0</v>
      </c>
      <c r="L9" s="2795">
        <f t="shared" si="1"/>
        <v>0</v>
      </c>
      <c r="M9" s="288">
        <f>'Výdaje kapitol celkem'!BY45</f>
        <v>0</v>
      </c>
      <c r="N9" s="2911">
        <f t="shared" si="0"/>
        <v>0</v>
      </c>
      <c r="O9" s="109"/>
    </row>
    <row r="10" spans="1:15" ht="24" customHeight="1">
      <c r="A10" s="2742" t="s">
        <v>770</v>
      </c>
      <c r="B10" s="2743">
        <v>5331</v>
      </c>
      <c r="C10" s="2744" t="s">
        <v>771</v>
      </c>
      <c r="D10" s="2912">
        <v>200000</v>
      </c>
      <c r="E10" s="2912">
        <v>200000</v>
      </c>
      <c r="F10" s="2912">
        <v>200000</v>
      </c>
      <c r="G10" s="2912">
        <v>200000</v>
      </c>
      <c r="H10" s="2912">
        <v>200000</v>
      </c>
      <c r="I10" s="2912">
        <v>200000</v>
      </c>
      <c r="J10" s="2912">
        <v>200000</v>
      </c>
      <c r="K10" s="2912">
        <v>200000</v>
      </c>
      <c r="L10" s="2795">
        <f t="shared" si="1"/>
        <v>0</v>
      </c>
      <c r="M10" s="288">
        <f>'Výdaje kapitol celkem'!CB45</f>
        <v>200000</v>
      </c>
      <c r="N10" s="2911">
        <f t="shared" si="0"/>
        <v>0</v>
      </c>
      <c r="O10" s="109"/>
    </row>
    <row r="11" spans="1:15" ht="24" hidden="1" customHeight="1">
      <c r="A11" s="2742" t="s">
        <v>479</v>
      </c>
      <c r="B11" s="2743">
        <v>5331</v>
      </c>
      <c r="C11" s="2744" t="s">
        <v>772</v>
      </c>
      <c r="D11" s="2745">
        <v>0</v>
      </c>
      <c r="E11" s="2745">
        <v>0</v>
      </c>
      <c r="F11" s="2745">
        <v>0</v>
      </c>
      <c r="G11" s="2745">
        <v>0</v>
      </c>
      <c r="H11" s="2745">
        <v>0</v>
      </c>
      <c r="I11" s="2745">
        <v>0</v>
      </c>
      <c r="J11" s="2745">
        <v>0</v>
      </c>
      <c r="K11" s="2745">
        <v>0</v>
      </c>
      <c r="L11" s="2795">
        <f t="shared" si="1"/>
        <v>0</v>
      </c>
      <c r="M11" s="288">
        <f>'Výdaje kapitol celkem'!CC45</f>
        <v>0</v>
      </c>
      <c r="N11" s="2911">
        <f t="shared" si="0"/>
        <v>0</v>
      </c>
      <c r="O11" s="109"/>
    </row>
    <row r="12" spans="1:15" ht="19.5" customHeight="1" thickBot="1">
      <c r="A12" s="3286" t="s">
        <v>97</v>
      </c>
      <c r="B12" s="3287"/>
      <c r="C12" s="2996"/>
      <c r="D12" s="2799">
        <v>53986224</v>
      </c>
      <c r="E12" s="2799">
        <v>54036224</v>
      </c>
      <c r="F12" s="2799">
        <v>54036224</v>
      </c>
      <c r="G12" s="2799">
        <v>54036224</v>
      </c>
      <c r="H12" s="2799">
        <v>54036224</v>
      </c>
      <c r="I12" s="2799">
        <v>54036224</v>
      </c>
      <c r="J12" s="2799">
        <v>55684755</v>
      </c>
      <c r="K12" s="2799">
        <f>SUM(K5:K11)</f>
        <v>58209131</v>
      </c>
      <c r="L12" s="2800">
        <f t="shared" si="1"/>
        <v>2524376</v>
      </c>
      <c r="M12" s="2913"/>
      <c r="N12" s="1908"/>
      <c r="O12" s="109"/>
    </row>
    <row r="13" spans="1:15">
      <c r="A13" s="109"/>
      <c r="B13" s="109"/>
      <c r="C13" s="109"/>
      <c r="D13" s="190">
        <v>53986224</v>
      </c>
      <c r="E13" s="190">
        <v>54036224</v>
      </c>
      <c r="F13" s="190">
        <v>54036224</v>
      </c>
      <c r="G13" s="190">
        <v>54036224</v>
      </c>
      <c r="H13" s="190">
        <v>54036224</v>
      </c>
      <c r="I13" s="190">
        <v>54036224</v>
      </c>
      <c r="J13" s="190">
        <v>55684755</v>
      </c>
      <c r="K13" s="190">
        <f>'Výdaje kapitol celkem'!K45</f>
        <v>58209131</v>
      </c>
      <c r="L13" s="109"/>
      <c r="M13" s="2913"/>
      <c r="N13" s="1908"/>
      <c r="O13" s="109"/>
    </row>
    <row r="14" spans="1:15" s="323" customFormat="1">
      <c r="A14" s="180"/>
      <c r="B14" s="180"/>
      <c r="C14" s="180" t="s">
        <v>236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284">
        <f>+K13-K12</f>
        <v>0</v>
      </c>
      <c r="L14" s="180"/>
      <c r="M14" s="2913"/>
      <c r="N14" s="1908"/>
      <c r="O14" s="180"/>
    </row>
    <row r="15" spans="1:15" s="323" customFormat="1">
      <c r="A15" s="2713" t="s">
        <v>545</v>
      </c>
      <c r="B15" s="180"/>
      <c r="C15" s="180"/>
      <c r="D15" s="180"/>
      <c r="E15" s="180"/>
      <c r="F15" s="180"/>
      <c r="G15" s="180"/>
      <c r="H15" s="180"/>
      <c r="I15" s="180"/>
      <c r="J15" s="180"/>
      <c r="K15" s="284"/>
      <c r="L15" s="180"/>
      <c r="M15" s="2913"/>
      <c r="N15" s="1908"/>
      <c r="O15" s="180"/>
    </row>
    <row r="16" spans="1:15" ht="13.5">
      <c r="N16" s="2914"/>
    </row>
    <row r="17" spans="13:14" ht="13.5">
      <c r="N17" s="2914"/>
    </row>
    <row r="18" spans="13:14" ht="13.5">
      <c r="M18" s="428"/>
      <c r="N18" s="2914"/>
    </row>
    <row r="19" spans="13:14" ht="13.5">
      <c r="N19" s="2914"/>
    </row>
    <row r="20" spans="13:14" ht="13.5">
      <c r="N20" s="2914"/>
    </row>
    <row r="21" spans="13:14" ht="13.5">
      <c r="M21" s="428"/>
      <c r="N21" s="2914"/>
    </row>
    <row r="22" spans="13:14" ht="13.5">
      <c r="N22" s="2914"/>
    </row>
    <row r="23" spans="13:14" ht="13.5">
      <c r="N23" s="2914"/>
    </row>
    <row r="24" spans="13:14" ht="13.5">
      <c r="M24" s="428"/>
      <c r="N24" s="2914"/>
    </row>
    <row r="25" spans="13:14" ht="13.5">
      <c r="N25" s="2914"/>
    </row>
    <row r="26" spans="13:14" ht="13.5">
      <c r="N26" s="2914"/>
    </row>
    <row r="27" spans="13:14" ht="13.5">
      <c r="M27" s="428"/>
      <c r="N27" s="2914"/>
    </row>
    <row r="28" spans="13:14" ht="13.5">
      <c r="N28" s="2914"/>
    </row>
    <row r="29" spans="13:14" ht="13.5">
      <c r="N29" s="2914"/>
    </row>
    <row r="30" spans="13:14" ht="13.5">
      <c r="M30" s="428"/>
      <c r="N30" s="2914"/>
    </row>
    <row r="31" spans="13:14" ht="13.5">
      <c r="N31" s="2914"/>
    </row>
    <row r="32" spans="13:14" ht="13.5">
      <c r="M32" s="428"/>
      <c r="N32" s="2914"/>
    </row>
    <row r="33" spans="13:14" ht="13.5">
      <c r="N33" s="2914"/>
    </row>
    <row r="34" spans="13:14" ht="13.5">
      <c r="N34" s="2914"/>
    </row>
    <row r="35" spans="13:14" ht="13.5">
      <c r="N35" s="2914"/>
    </row>
    <row r="36" spans="13:14" ht="13.5">
      <c r="N36" s="2914"/>
    </row>
    <row r="37" spans="13:14" ht="13.5">
      <c r="N37" s="2914"/>
    </row>
    <row r="38" spans="13:14" ht="13.5">
      <c r="M38" s="428"/>
      <c r="N38" s="2914"/>
    </row>
    <row r="39" spans="13:14" ht="13.5">
      <c r="N39" s="2914"/>
    </row>
    <row r="40" spans="13:14" ht="13.5">
      <c r="N40" s="2914"/>
    </row>
    <row r="41" spans="13:14" ht="13.5">
      <c r="M41" s="428"/>
      <c r="N41" s="2914"/>
    </row>
    <row r="42" spans="13:14" ht="13.5">
      <c r="N42" s="2914"/>
    </row>
    <row r="43" spans="13:14" ht="13.5">
      <c r="N43" s="2914"/>
    </row>
    <row r="44" spans="13:14" ht="13.5">
      <c r="M44" s="428"/>
      <c r="N44" s="2914"/>
    </row>
    <row r="45" spans="13:14" ht="13.5">
      <c r="N45" s="2914"/>
    </row>
    <row r="46" spans="13:14" ht="13.5">
      <c r="N46" s="2914"/>
    </row>
    <row r="47" spans="13:14" ht="13.5">
      <c r="M47" s="428"/>
      <c r="N47" s="2914"/>
    </row>
    <row r="48" spans="13:14" ht="13.5">
      <c r="N48" s="2914"/>
    </row>
    <row r="49" spans="13:14" ht="13.5">
      <c r="N49" s="2914"/>
    </row>
    <row r="50" spans="13:14" ht="13.5">
      <c r="N50" s="2914"/>
    </row>
    <row r="51" spans="13:14" ht="13.5">
      <c r="N51" s="2914"/>
    </row>
    <row r="52" spans="13:14" ht="13.5">
      <c r="M52" s="428"/>
      <c r="N52" s="2914"/>
    </row>
    <row r="53" spans="13:14" ht="13.5">
      <c r="N53" s="2914"/>
    </row>
    <row r="54" spans="13:14" ht="13.5">
      <c r="N54" s="2914"/>
    </row>
    <row r="55" spans="13:14" ht="13.5">
      <c r="M55" s="428"/>
      <c r="N55" s="2914"/>
    </row>
    <row r="56" spans="13:14" ht="13.5">
      <c r="N56" s="2914"/>
    </row>
    <row r="57" spans="13:14" ht="13.5">
      <c r="N57" s="2914"/>
    </row>
    <row r="58" spans="13:14" ht="13.5">
      <c r="N58" s="2914"/>
    </row>
    <row r="59" spans="13:14" ht="13.5">
      <c r="M59" s="428"/>
      <c r="N59" s="2914"/>
    </row>
    <row r="60" spans="13:14" ht="13.5">
      <c r="N60" s="2914"/>
    </row>
    <row r="61" spans="13:14" ht="13.5">
      <c r="N61" s="2914"/>
    </row>
    <row r="62" spans="13:14" ht="13.5">
      <c r="N62" s="2914"/>
    </row>
    <row r="63" spans="13:14" ht="13.5">
      <c r="M63" s="428"/>
      <c r="N63" s="2914"/>
    </row>
    <row r="64" spans="13:14" ht="13.5">
      <c r="N64" s="2914"/>
    </row>
    <row r="65" spans="13:14" ht="13.5">
      <c r="N65" s="2914"/>
    </row>
    <row r="66" spans="13:14" ht="13.5">
      <c r="N66" s="2914"/>
    </row>
    <row r="67" spans="13:14" ht="13.5">
      <c r="N67" s="2914"/>
    </row>
    <row r="68" spans="13:14" ht="13.5">
      <c r="N68" s="2914"/>
    </row>
    <row r="69" spans="13:14" ht="13.5">
      <c r="M69" s="428"/>
      <c r="N69" s="2914"/>
    </row>
    <row r="70" spans="13:14" ht="13.5">
      <c r="N70" s="2914"/>
    </row>
    <row r="71" spans="13:14" ht="13.5">
      <c r="N71" s="2914"/>
    </row>
    <row r="72" spans="13:14" ht="13.5">
      <c r="N72" s="2914"/>
    </row>
    <row r="73" spans="13:14" ht="13.5">
      <c r="N73" s="2914"/>
    </row>
    <row r="74" spans="13:14" ht="13.5">
      <c r="M74" s="428"/>
      <c r="N74" s="2914"/>
    </row>
    <row r="75" spans="13:14" ht="13.5">
      <c r="N75" s="2914"/>
    </row>
    <row r="76" spans="13:14" ht="13.5">
      <c r="N76" s="2914"/>
    </row>
    <row r="77" spans="13:14" ht="13.5">
      <c r="M77" s="428"/>
      <c r="N77" s="2914"/>
    </row>
    <row r="78" spans="13:14" ht="13.5">
      <c r="N78" s="2914"/>
    </row>
    <row r="79" spans="13:14" ht="13.5">
      <c r="N79" s="2914"/>
    </row>
    <row r="80" spans="13:14" ht="13.5">
      <c r="M80" s="428"/>
      <c r="N80" s="2914"/>
    </row>
    <row r="81" spans="13:14" ht="13.5">
      <c r="N81" s="2914"/>
    </row>
    <row r="82" spans="13:14" ht="13.5">
      <c r="N82" s="2914"/>
    </row>
    <row r="83" spans="13:14" ht="13.5">
      <c r="M83" s="428"/>
      <c r="N83" s="2914"/>
    </row>
    <row r="84" spans="13:14" ht="13.5">
      <c r="N84" s="2914"/>
    </row>
    <row r="85" spans="13:14" ht="13.5">
      <c r="N85" s="2914"/>
    </row>
    <row r="86" spans="13:14" ht="13.5">
      <c r="N86" s="2914"/>
    </row>
    <row r="87" spans="13:14" ht="13.5">
      <c r="M87" s="428"/>
      <c r="N87" s="2914"/>
    </row>
    <row r="88" spans="13:14" ht="13.5">
      <c r="N88" s="2914"/>
    </row>
    <row r="89" spans="13:14" ht="13.5">
      <c r="N89" s="2914"/>
    </row>
    <row r="90" spans="13:14" ht="13.5">
      <c r="M90" s="428"/>
      <c r="N90" s="2914"/>
    </row>
    <row r="91" spans="13:14" ht="13.5">
      <c r="N91" s="2914"/>
    </row>
    <row r="92" spans="13:14" ht="13.5">
      <c r="N92" s="2914"/>
    </row>
    <row r="93" spans="13:14" ht="13.5">
      <c r="M93" s="428"/>
      <c r="N93" s="2914"/>
    </row>
    <row r="94" spans="13:14" ht="13.5">
      <c r="N94" s="2914"/>
    </row>
    <row r="95" spans="13:14" ht="13.5">
      <c r="N95" s="2914"/>
    </row>
    <row r="96" spans="13:14" ht="13.5">
      <c r="M96" s="428"/>
      <c r="N96" s="2914"/>
    </row>
    <row r="97" spans="13:14" ht="13.5">
      <c r="M97" s="428"/>
      <c r="N97" s="2914"/>
    </row>
    <row r="98" spans="13:14" ht="13.5">
      <c r="M98" s="428"/>
      <c r="N98" s="2914"/>
    </row>
    <row r="99" spans="13:14" ht="13.5">
      <c r="M99" s="428"/>
      <c r="N99" s="2914"/>
    </row>
    <row r="100" spans="13:14" ht="13.5">
      <c r="M100" s="428"/>
      <c r="N100" s="2914"/>
    </row>
    <row r="101" spans="13:14" ht="13.5">
      <c r="M101" s="428"/>
      <c r="N101" s="2914"/>
    </row>
    <row r="102" spans="13:14" ht="13.5">
      <c r="N102" s="2914"/>
    </row>
    <row r="103" spans="13:14" ht="13.5">
      <c r="N103" s="2914"/>
    </row>
    <row r="104" spans="13:14" ht="13.5">
      <c r="N104" s="2914"/>
    </row>
    <row r="105" spans="13:14" ht="13.5">
      <c r="M105" s="428"/>
      <c r="N105" s="2914"/>
    </row>
    <row r="106" spans="13:14" ht="13.5">
      <c r="N106" s="2914"/>
    </row>
    <row r="107" spans="13:14" ht="13.5">
      <c r="N107" s="2914"/>
    </row>
    <row r="108" spans="13:14" ht="13.5">
      <c r="M108" s="428"/>
      <c r="N108" s="2914"/>
    </row>
    <row r="109" spans="13:14" ht="13.5">
      <c r="N109" s="2914"/>
    </row>
    <row r="110" spans="13:14" ht="13.5">
      <c r="N110" s="2914"/>
    </row>
    <row r="111" spans="13:14" ht="13.5">
      <c r="M111" s="428"/>
      <c r="N111" s="2914"/>
    </row>
    <row r="112" spans="13:14" ht="13.5">
      <c r="N112" s="2914"/>
    </row>
    <row r="113" spans="13:14" ht="13.5">
      <c r="N113" s="2914"/>
    </row>
    <row r="114" spans="13:14" ht="13.5">
      <c r="N114" s="2914"/>
    </row>
    <row r="115" spans="13:14" ht="13.5">
      <c r="N115" s="2914"/>
    </row>
    <row r="116" spans="13:14" ht="13.5">
      <c r="N116" s="2914"/>
    </row>
    <row r="117" spans="13:14" ht="13.5">
      <c r="M117" s="428"/>
      <c r="N117" s="2914"/>
    </row>
    <row r="118" spans="13:14" ht="13.5">
      <c r="N118" s="2914"/>
    </row>
    <row r="119" spans="13:14" ht="13.5">
      <c r="N119" s="2914"/>
    </row>
    <row r="120" spans="13:14" ht="13.5">
      <c r="N120" s="2914"/>
    </row>
    <row r="121" spans="13:14" ht="13.5">
      <c r="M121" s="428"/>
      <c r="N121" s="2914"/>
    </row>
    <row r="122" spans="13:14" ht="13.5">
      <c r="N122" s="2914"/>
    </row>
    <row r="123" spans="13:14" ht="13.5">
      <c r="N123" s="2914"/>
    </row>
    <row r="124" spans="13:14" ht="13.5">
      <c r="N124" s="2914"/>
    </row>
    <row r="125" spans="13:14" ht="13.5">
      <c r="M125" s="428"/>
      <c r="N125" s="2914"/>
    </row>
    <row r="126" spans="13:14" ht="13.5">
      <c r="N126" s="2914"/>
    </row>
    <row r="127" spans="13:14" ht="13.5">
      <c r="N127" s="2914"/>
    </row>
    <row r="128" spans="13:14" ht="13.5">
      <c r="M128" s="428"/>
      <c r="N128" s="2914"/>
    </row>
    <row r="129" spans="13:14" ht="13.5">
      <c r="N129" s="2914"/>
    </row>
    <row r="130" spans="13:14" ht="13.5">
      <c r="N130" s="2914"/>
    </row>
    <row r="131" spans="13:14" ht="13.5">
      <c r="M131" s="428"/>
      <c r="N131" s="2914"/>
    </row>
    <row r="132" spans="13:14" ht="13.5">
      <c r="N132" s="2914"/>
    </row>
    <row r="133" spans="13:14" ht="13.5">
      <c r="N133" s="2914"/>
    </row>
    <row r="134" spans="13:14" ht="13.5">
      <c r="N134" s="2914"/>
    </row>
    <row r="135" spans="13:14" ht="13.5">
      <c r="M135" s="428"/>
      <c r="N135" s="2914"/>
    </row>
    <row r="136" spans="13:14" ht="13.5">
      <c r="N136" s="2914"/>
    </row>
    <row r="137" spans="13:14" ht="13.5">
      <c r="N137" s="2914"/>
    </row>
    <row r="138" spans="13:14" ht="13.5">
      <c r="M138" s="428"/>
      <c r="N138" s="2914"/>
    </row>
    <row r="139" spans="13:14" ht="13.5">
      <c r="N139" s="2914"/>
    </row>
    <row r="140" spans="13:14" ht="13.5">
      <c r="N140" s="2914"/>
    </row>
    <row r="141" spans="13:14" ht="13.5">
      <c r="N141" s="2914"/>
    </row>
    <row r="142" spans="13:14" ht="13.5">
      <c r="M142" s="428"/>
      <c r="N142" s="2914"/>
    </row>
    <row r="143" spans="13:14" ht="13.5">
      <c r="N143" s="2914"/>
    </row>
    <row r="144" spans="13:14" ht="13.5">
      <c r="N144" s="2914"/>
    </row>
    <row r="145" spans="13:14" ht="13.5">
      <c r="N145" s="2914"/>
    </row>
    <row r="146" spans="13:14" ht="13.5">
      <c r="N146" s="2914"/>
    </row>
    <row r="147" spans="13:14" ht="13.5">
      <c r="M147" s="428"/>
      <c r="N147" s="2914"/>
    </row>
    <row r="148" spans="13:14" ht="13.5">
      <c r="N148" s="2914"/>
    </row>
    <row r="149" spans="13:14" ht="13.5">
      <c r="N149" s="2914"/>
    </row>
    <row r="150" spans="13:14" ht="13.5">
      <c r="M150" s="428"/>
      <c r="N150" s="2914"/>
    </row>
    <row r="151" spans="13:14" ht="13.5">
      <c r="N151" s="2914"/>
    </row>
    <row r="152" spans="13:14" ht="13.5">
      <c r="N152" s="2914"/>
    </row>
    <row r="153" spans="13:14" ht="13.5">
      <c r="M153" s="428"/>
      <c r="N153" s="2914"/>
    </row>
    <row r="154" spans="13:14" ht="13.5">
      <c r="N154" s="2914"/>
    </row>
    <row r="155" spans="13:14" ht="13.5">
      <c r="N155" s="2914"/>
    </row>
    <row r="156" spans="13:14" ht="13.5">
      <c r="M156" s="428"/>
      <c r="N156" s="2914"/>
    </row>
    <row r="157" spans="13:14" ht="13.5">
      <c r="N157" s="2914"/>
    </row>
    <row r="158" spans="13:14" ht="13.5">
      <c r="N158" s="2914"/>
    </row>
    <row r="159" spans="13:14" ht="13.5">
      <c r="N159" s="2914"/>
    </row>
    <row r="160" spans="13:14" ht="13.5">
      <c r="N160" s="2914"/>
    </row>
    <row r="161" spans="13:14" ht="13.5">
      <c r="M161" s="428"/>
      <c r="N161" s="2914"/>
    </row>
    <row r="162" spans="13:14" ht="13.5">
      <c r="N162" s="2914"/>
    </row>
    <row r="163" spans="13:14" ht="13.5">
      <c r="N163" s="2914"/>
    </row>
    <row r="164" spans="13:14" ht="13.5">
      <c r="N164" s="2914"/>
    </row>
    <row r="165" spans="13:14" ht="13.5">
      <c r="M165" s="428"/>
      <c r="N165" s="2914"/>
    </row>
    <row r="166" spans="13:14" ht="13.5">
      <c r="M166" s="428"/>
      <c r="N166" s="2915"/>
    </row>
  </sheetData>
  <sheetProtection algorithmName="SHA-512" hashValue="KePIlsoPbdss+x6WmCaJPbqcmgUjKDLLccr0fPC8taRZhcvqqi8qyt/P8WHAmDXCMbM6E1KO5YqdKzY/6IkNAg==" saltValue="TPGkkhH+Bw3t4DpQoTfVR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M14"/>
  <sheetViews>
    <sheetView workbookViewId="0">
      <selection activeCell="C7" sqref="C7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6" style="316" bestFit="1" customWidth="1"/>
    <col min="4" max="4" width="16" style="316" hidden="1" customWidth="1"/>
    <col min="5" max="8" width="10.265625" style="316" hidden="1" customWidth="1"/>
    <col min="9" max="9" width="11.73046875" style="316" customWidth="1"/>
    <col min="10" max="10" width="11.1328125" style="316" customWidth="1"/>
    <col min="11" max="11" width="11.3984375" style="316" customWidth="1"/>
    <col min="12" max="12" width="10.265625" style="316" bestFit="1" customWidth="1"/>
    <col min="13" max="13" width="50" style="316" bestFit="1" customWidth="1"/>
    <col min="14" max="16384" width="9" style="316"/>
  </cols>
  <sheetData>
    <row r="1" spans="1:13" ht="16.149999999999999">
      <c r="A1" s="108" t="s">
        <v>2350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</row>
    <row r="2" spans="1:13" ht="13.5">
      <c r="A2" s="2783" t="s">
        <v>116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spans="1:13" ht="13.9" thickBot="1">
      <c r="A3" s="278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2788" customFormat="1" ht="27.4" thickBot="1">
      <c r="A4" s="2732" t="s">
        <v>1</v>
      </c>
      <c r="B4" s="2733" t="s">
        <v>63</v>
      </c>
      <c r="C4" s="2784" t="s">
        <v>6</v>
      </c>
      <c r="D4" s="2785" t="s">
        <v>2352</v>
      </c>
      <c r="E4" s="2785" t="s">
        <v>1934</v>
      </c>
      <c r="F4" s="2785" t="s">
        <v>2644</v>
      </c>
      <c r="G4" s="2785" t="s">
        <v>2766</v>
      </c>
      <c r="H4" s="2785" t="s">
        <v>2107</v>
      </c>
      <c r="I4" s="2785" t="s">
        <v>2830</v>
      </c>
      <c r="J4" s="2785" t="s">
        <v>2855</v>
      </c>
      <c r="K4" s="2785" t="s">
        <v>2923</v>
      </c>
      <c r="L4" s="2786" t="s">
        <v>5</v>
      </c>
      <c r="M4" s="2787" t="s">
        <v>548</v>
      </c>
    </row>
    <row r="5" spans="1:13" s="2481" customFormat="1">
      <c r="A5" s="2789">
        <v>6310</v>
      </c>
      <c r="B5" s="2790">
        <v>5141</v>
      </c>
      <c r="C5" s="2791" t="s">
        <v>2367</v>
      </c>
      <c r="D5" s="2792">
        <v>0</v>
      </c>
      <c r="E5" s="2792">
        <v>0</v>
      </c>
      <c r="F5" s="2792">
        <v>0</v>
      </c>
      <c r="G5" s="2792">
        <v>0</v>
      </c>
      <c r="H5" s="2792">
        <v>0</v>
      </c>
      <c r="I5" s="2792">
        <v>0</v>
      </c>
      <c r="J5" s="2792">
        <v>0</v>
      </c>
      <c r="K5" s="2792">
        <v>0</v>
      </c>
      <c r="L5" s="2793">
        <f>+K5-J5</f>
        <v>0</v>
      </c>
      <c r="M5" s="2787"/>
    </row>
    <row r="6" spans="1:13">
      <c r="A6" s="2742">
        <v>6310</v>
      </c>
      <c r="B6" s="2743">
        <v>5141</v>
      </c>
      <c r="C6" s="2772" t="s">
        <v>2368</v>
      </c>
      <c r="D6" s="2794">
        <v>5118492</v>
      </c>
      <c r="E6" s="2794">
        <v>5118492</v>
      </c>
      <c r="F6" s="2794">
        <v>5118492</v>
      </c>
      <c r="G6" s="2794">
        <v>5118492</v>
      </c>
      <c r="H6" s="2794">
        <v>5118492</v>
      </c>
      <c r="I6" s="2794">
        <v>5118492</v>
      </c>
      <c r="J6" s="2794">
        <v>5118492</v>
      </c>
      <c r="K6" s="2794">
        <v>5118492</v>
      </c>
      <c r="L6" s="2795">
        <f t="shared" ref="L6:L11" si="0">+K6-J6</f>
        <v>0</v>
      </c>
      <c r="M6" s="2126"/>
    </row>
    <row r="7" spans="1:13" ht="14.25" customHeight="1">
      <c r="A7" s="2742">
        <v>6310</v>
      </c>
      <c r="B7" s="2743">
        <v>5141</v>
      </c>
      <c r="C7" s="2772" t="s">
        <v>2369</v>
      </c>
      <c r="D7" s="2794">
        <v>2264160</v>
      </c>
      <c r="E7" s="2794">
        <v>2264160</v>
      </c>
      <c r="F7" s="2794">
        <v>2264160</v>
      </c>
      <c r="G7" s="2794">
        <v>2264160</v>
      </c>
      <c r="H7" s="2794">
        <v>2264160</v>
      </c>
      <c r="I7" s="2794">
        <v>2264160</v>
      </c>
      <c r="J7" s="2794">
        <v>2264160</v>
      </c>
      <c r="K7" s="2794">
        <v>2264160</v>
      </c>
      <c r="L7" s="2795">
        <f t="shared" si="0"/>
        <v>0</v>
      </c>
      <c r="M7" s="2731"/>
    </row>
    <row r="8" spans="1:13" ht="14.25" customHeight="1">
      <c r="A8" s="2742">
        <v>6310</v>
      </c>
      <c r="B8" s="2743">
        <v>5141</v>
      </c>
      <c r="C8" s="2772" t="s">
        <v>2370</v>
      </c>
      <c r="D8" s="2794">
        <v>681648</v>
      </c>
      <c r="E8" s="2794">
        <v>681648</v>
      </c>
      <c r="F8" s="2794">
        <v>681648</v>
      </c>
      <c r="G8" s="2794">
        <v>681648</v>
      </c>
      <c r="H8" s="2794">
        <v>681648</v>
      </c>
      <c r="I8" s="2794">
        <v>681648</v>
      </c>
      <c r="J8" s="2794">
        <v>681648</v>
      </c>
      <c r="K8" s="2794">
        <v>681648</v>
      </c>
      <c r="L8" s="2795">
        <f t="shared" si="0"/>
        <v>0</v>
      </c>
      <c r="M8" s="109"/>
    </row>
    <row r="9" spans="1:13" ht="26.25">
      <c r="A9" s="2742">
        <v>6310</v>
      </c>
      <c r="B9" s="2743">
        <v>5141</v>
      </c>
      <c r="C9" s="2772" t="s">
        <v>3007</v>
      </c>
      <c r="D9" s="2796">
        <v>416667</v>
      </c>
      <c r="E9" s="2796">
        <v>416667</v>
      </c>
      <c r="F9" s="2796">
        <v>416667</v>
      </c>
      <c r="G9" s="2796">
        <v>416667</v>
      </c>
      <c r="H9" s="2796">
        <v>416667</v>
      </c>
      <c r="I9" s="2796">
        <v>416667</v>
      </c>
      <c r="J9" s="2796">
        <v>1469697</v>
      </c>
      <c r="K9" s="2796">
        <v>1469697</v>
      </c>
      <c r="L9" s="2795">
        <f t="shared" si="0"/>
        <v>0</v>
      </c>
      <c r="M9" s="109"/>
    </row>
    <row r="10" spans="1:13">
      <c r="A10" s="2753">
        <v>6310</v>
      </c>
      <c r="B10" s="2754">
        <v>5141</v>
      </c>
      <c r="C10" s="2774" t="s">
        <v>2576</v>
      </c>
      <c r="D10" s="2796">
        <v>0</v>
      </c>
      <c r="E10" s="2796">
        <v>0</v>
      </c>
      <c r="F10" s="2796">
        <v>0</v>
      </c>
      <c r="G10" s="2796">
        <v>0</v>
      </c>
      <c r="H10" s="2796">
        <v>0</v>
      </c>
      <c r="I10" s="2796">
        <v>0</v>
      </c>
      <c r="J10" s="2796">
        <v>0</v>
      </c>
      <c r="K10" s="2796">
        <v>416677</v>
      </c>
      <c r="L10" s="2797">
        <f t="shared" si="0"/>
        <v>416677</v>
      </c>
      <c r="M10" s="109"/>
    </row>
    <row r="11" spans="1:13" ht="13.9" thickBot="1">
      <c r="A11" s="3286" t="s">
        <v>2366</v>
      </c>
      <c r="B11" s="3287"/>
      <c r="C11" s="2798"/>
      <c r="D11" s="2799">
        <v>8480967</v>
      </c>
      <c r="E11" s="2799">
        <v>8480967</v>
      </c>
      <c r="F11" s="2799">
        <v>8480967</v>
      </c>
      <c r="G11" s="2799">
        <v>8480967</v>
      </c>
      <c r="H11" s="2799">
        <v>8480967</v>
      </c>
      <c r="I11" s="2799">
        <v>8480967</v>
      </c>
      <c r="J11" s="2799">
        <v>9533997</v>
      </c>
      <c r="K11" s="2799">
        <f>SUM(K5:K10)</f>
        <v>9950674</v>
      </c>
      <c r="L11" s="2800">
        <f t="shared" si="0"/>
        <v>416677</v>
      </c>
      <c r="M11" s="109"/>
    </row>
    <row r="12" spans="1:13">
      <c r="A12" s="109"/>
      <c r="B12" s="109"/>
      <c r="C12" s="109"/>
      <c r="D12" s="190">
        <v>8480967</v>
      </c>
      <c r="E12" s="190">
        <v>8480967</v>
      </c>
      <c r="F12" s="190">
        <v>8480967</v>
      </c>
      <c r="G12" s="190">
        <v>8480967</v>
      </c>
      <c r="H12" s="190">
        <v>8480967</v>
      </c>
      <c r="I12" s="190">
        <v>8480967</v>
      </c>
      <c r="J12" s="190">
        <v>9533997</v>
      </c>
      <c r="K12" s="190">
        <f>+'Výdaje kapitol celkem'!K74</f>
        <v>9950674</v>
      </c>
      <c r="L12" s="109"/>
      <c r="M12" s="109"/>
    </row>
    <row r="13" spans="1:13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284">
        <v>0</v>
      </c>
      <c r="K13" s="284">
        <f>+K12-K11</f>
        <v>0</v>
      </c>
      <c r="L13" s="180"/>
      <c r="M13" s="180"/>
    </row>
    <row r="14" spans="1:13" s="323" customFormat="1">
      <c r="A14" s="2713" t="s">
        <v>545</v>
      </c>
      <c r="B14" s="180"/>
      <c r="C14" s="180"/>
      <c r="D14" s="284"/>
      <c r="E14" s="284"/>
      <c r="F14" s="284"/>
      <c r="G14" s="284"/>
      <c r="H14" s="284"/>
      <c r="I14" s="284"/>
      <c r="J14" s="284"/>
      <c r="K14" s="284"/>
      <c r="L14" s="180"/>
      <c r="M14" s="180"/>
    </row>
  </sheetData>
  <sheetProtection algorithmName="SHA-512" hashValue="ul/cRPub7LaQ0mE5rWwG1AQr//jSWHG3svV9dDHcGEXZuh70Bs3uMpn3jjR4gCCVdc9eqDZfrb+G4DiZavPwBw==" saltValue="p7x/wnK9g+id7dwa4U6D4Q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A4" workbookViewId="0"/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698</v>
      </c>
      <c r="C2" s="976" t="s">
        <v>699</v>
      </c>
      <c r="D2" s="977"/>
      <c r="E2" s="977"/>
    </row>
    <row r="3" spans="1:27" s="974" customFormat="1" ht="14.65">
      <c r="A3" s="974" t="s">
        <v>658</v>
      </c>
      <c r="B3" s="978">
        <v>110000000</v>
      </c>
      <c r="D3" s="977"/>
      <c r="E3" s="977"/>
    </row>
    <row r="4" spans="1:27" s="979" customFormat="1" ht="14.6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764</v>
      </c>
      <c r="B5" s="980">
        <v>30000000</v>
      </c>
      <c r="C5" s="980"/>
      <c r="D5" s="978"/>
      <c r="E5" s="978"/>
    </row>
    <row r="6" spans="1:27" s="979" customFormat="1" ht="14.65">
      <c r="A6" s="979" t="s">
        <v>1130</v>
      </c>
      <c r="B6" s="980">
        <v>15000000</v>
      </c>
      <c r="C6" s="980"/>
      <c r="D6" s="978"/>
      <c r="E6" s="978"/>
    </row>
    <row r="7" spans="1:27" s="979" customFormat="1" ht="14.65">
      <c r="A7" s="979" t="s">
        <v>1130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83" t="s">
        <v>659</v>
      </c>
      <c r="B9" s="1784">
        <v>2016</v>
      </c>
      <c r="C9" s="1785">
        <v>2017</v>
      </c>
      <c r="D9" s="1785">
        <v>2018</v>
      </c>
      <c r="E9" s="1786">
        <v>2019</v>
      </c>
      <c r="F9" s="1787">
        <v>2020</v>
      </c>
      <c r="G9" s="1788">
        <v>2021</v>
      </c>
      <c r="H9" s="1786">
        <v>2022</v>
      </c>
      <c r="I9" s="1789">
        <v>2023</v>
      </c>
      <c r="J9" s="1790">
        <v>2024</v>
      </c>
      <c r="K9" s="1790">
        <v>2025</v>
      </c>
      <c r="L9" s="1790">
        <v>2026</v>
      </c>
      <c r="M9" s="1791">
        <v>2027</v>
      </c>
      <c r="N9" s="1791">
        <v>2028</v>
      </c>
      <c r="O9" s="1791">
        <v>2029</v>
      </c>
      <c r="P9" s="1791">
        <v>2030</v>
      </c>
      <c r="Q9" s="1785">
        <v>2031</v>
      </c>
      <c r="R9" s="1785">
        <v>2032</v>
      </c>
      <c r="S9" s="1785">
        <v>2033</v>
      </c>
      <c r="T9" s="1785">
        <v>2034</v>
      </c>
      <c r="U9" s="1785">
        <v>2035</v>
      </c>
      <c r="V9" s="1792">
        <v>2036</v>
      </c>
      <c r="W9" s="1785">
        <v>2037</v>
      </c>
      <c r="X9" s="1785">
        <v>2038</v>
      </c>
      <c r="Y9" s="1823">
        <v>2040</v>
      </c>
      <c r="Z9" s="1044">
        <v>2041</v>
      </c>
      <c r="AA9" s="982"/>
    </row>
    <row r="10" spans="1:27" s="973" customFormat="1" ht="13.15">
      <c r="A10" s="1019" t="s">
        <v>660</v>
      </c>
      <c r="B10" s="1020"/>
      <c r="C10" s="1780">
        <v>46524.695976266659</v>
      </c>
      <c r="D10" s="1780">
        <v>464498.05917600001</v>
      </c>
      <c r="E10" s="1781">
        <f>0.0056*B3*0.25</f>
        <v>154000</v>
      </c>
      <c r="F10" s="1020"/>
      <c r="G10" s="1780"/>
      <c r="H10" s="1782"/>
      <c r="I10" s="1020"/>
      <c r="J10" s="1780"/>
      <c r="K10" s="1780"/>
      <c r="L10" s="1780"/>
      <c r="M10" s="1780"/>
      <c r="N10" s="1780"/>
      <c r="O10" s="1780"/>
      <c r="P10" s="1780"/>
      <c r="Q10" s="1780"/>
      <c r="R10" s="1780"/>
      <c r="S10" s="1780"/>
      <c r="T10" s="1780"/>
      <c r="U10" s="1780"/>
      <c r="V10" s="1793"/>
      <c r="W10" s="1780"/>
      <c r="X10" s="1780"/>
      <c r="Y10" s="1824"/>
      <c r="Z10" s="1802"/>
      <c r="AA10" s="954"/>
    </row>
    <row r="11" spans="1:27" s="973" customFormat="1" ht="13.1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794"/>
      <c r="W11" s="902"/>
      <c r="X11" s="902"/>
      <c r="Y11" s="1825"/>
      <c r="Z11" s="955"/>
      <c r="AA11" s="954"/>
    </row>
    <row r="12" spans="1:27" s="989" customFormat="1" ht="13.1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795">
        <f>+'přepočet úroků'!Q127</f>
        <v>0</v>
      </c>
      <c r="W12" s="920">
        <f>+'přepočet úroků'!Q136</f>
        <v>0</v>
      </c>
      <c r="Y12" s="920"/>
      <c r="Z12" s="1803"/>
      <c r="AA12" s="954"/>
    </row>
    <row r="13" spans="1:27" s="989" customFormat="1" ht="13.1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795">
        <f t="shared" si="0"/>
        <v>5118492</v>
      </c>
      <c r="W13" s="920"/>
      <c r="X13" s="920"/>
      <c r="Y13" s="1826"/>
      <c r="Z13" s="1803"/>
      <c r="AA13" s="954"/>
    </row>
    <row r="14" spans="1:27" s="995" customFormat="1" ht="13.1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796"/>
      <c r="W14" s="992"/>
      <c r="X14" s="992"/>
      <c r="Y14" s="1827"/>
      <c r="Z14" s="1804"/>
      <c r="AA14" s="954"/>
    </row>
    <row r="15" spans="1:27" s="995" customFormat="1" ht="13.1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796"/>
      <c r="W15" s="992"/>
      <c r="X15" s="992"/>
      <c r="Y15" s="1827"/>
      <c r="Z15" s="1804"/>
      <c r="AA15" s="954"/>
    </row>
    <row r="16" spans="1:27" s="973" customFormat="1" ht="13.1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794"/>
      <c r="W16" s="902"/>
      <c r="X16" s="902"/>
      <c r="Y16" s="1825"/>
      <c r="Z16" s="955"/>
      <c r="AA16" s="954"/>
    </row>
    <row r="17" spans="1:27" s="1001" customFormat="1" ht="13.15">
      <c r="A17" s="996" t="s">
        <v>766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797">
        <f t="shared" ref="V17" si="2">+U31*0.0044*4</f>
        <v>0</v>
      </c>
      <c r="W17" s="998"/>
      <c r="X17" s="998"/>
      <c r="Y17" s="1828"/>
      <c r="Z17" s="1805"/>
      <c r="AA17" s="1000"/>
    </row>
    <row r="18" spans="1:27" s="1001" customFormat="1" ht="12" customHeight="1">
      <c r="A18" s="996" t="s">
        <v>767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797"/>
      <c r="W18" s="998"/>
      <c r="X18" s="998"/>
      <c r="Y18" s="1828"/>
      <c r="Z18" s="1805"/>
      <c r="AA18" s="1000"/>
    </row>
    <row r="19" spans="1:27" s="989" customFormat="1" ht="12" customHeight="1">
      <c r="A19" s="1765" t="s">
        <v>1126</v>
      </c>
      <c r="B19" s="1766"/>
      <c r="C19" s="1767"/>
      <c r="D19" s="1767"/>
      <c r="E19" s="1768"/>
      <c r="F19" s="1766">
        <v>135000</v>
      </c>
      <c r="G19" s="1767">
        <v>40714</v>
      </c>
      <c r="H19" s="1768">
        <f>+G32*0.006*10.06</f>
        <v>843832.8</v>
      </c>
      <c r="I19" s="1766">
        <f>+'přepočet úroků'!C7*7</f>
        <v>420000</v>
      </c>
      <c r="J19" s="1767"/>
      <c r="K19" s="1767"/>
      <c r="L19" s="1767"/>
      <c r="M19" s="1767"/>
      <c r="N19" s="1767"/>
      <c r="O19" s="1767"/>
      <c r="P19" s="1767"/>
      <c r="Q19" s="1767"/>
      <c r="R19" s="1767"/>
      <c r="S19" s="1767"/>
      <c r="T19" s="1767"/>
      <c r="U19" s="1767"/>
      <c r="V19" s="1798"/>
      <c r="W19" s="1767"/>
      <c r="X19" s="1767"/>
      <c r="Y19" s="1829"/>
      <c r="Z19" s="1806"/>
      <c r="AA19" s="872"/>
    </row>
    <row r="20" spans="1:27" s="989" customFormat="1" ht="12" customHeight="1">
      <c r="A20" s="1765" t="s">
        <v>1127</v>
      </c>
      <c r="B20" s="1766"/>
      <c r="C20" s="1767"/>
      <c r="D20" s="1767"/>
      <c r="E20" s="1768"/>
      <c r="F20" s="1766">
        <v>420000</v>
      </c>
      <c r="G20" s="1767">
        <v>600000</v>
      </c>
      <c r="H20" s="1768">
        <v>831000</v>
      </c>
      <c r="I20" s="1766">
        <f>+'přepočet úroků'!Q7</f>
        <v>585790</v>
      </c>
      <c r="J20" s="1767"/>
      <c r="K20" s="1767"/>
      <c r="L20" s="1767"/>
      <c r="M20" s="1767"/>
      <c r="N20" s="1767"/>
      <c r="O20" s="1767"/>
      <c r="P20" s="1767"/>
      <c r="Q20" s="1767"/>
      <c r="R20" s="1767"/>
      <c r="S20" s="1767"/>
      <c r="T20" s="1767"/>
      <c r="U20" s="1767"/>
      <c r="V20" s="1798"/>
      <c r="W20" s="1767"/>
      <c r="X20" s="1767"/>
      <c r="Y20" s="1829"/>
      <c r="Z20" s="1806"/>
      <c r="AA20" s="872"/>
    </row>
    <row r="21" spans="1:27" s="1007" customFormat="1" ht="12" customHeight="1">
      <c r="A21" s="1769" t="s">
        <v>1129</v>
      </c>
      <c r="B21" s="1770"/>
      <c r="C21" s="1771"/>
      <c r="D21" s="1771"/>
      <c r="E21" s="1772"/>
      <c r="F21" s="1770">
        <f>2500000*0.009</f>
        <v>22500</v>
      </c>
      <c r="G21" s="1771">
        <v>6748</v>
      </c>
      <c r="H21" s="1772">
        <f>+G33*0.00685*12</f>
        <v>184948.35600000003</v>
      </c>
      <c r="I21" s="1770">
        <f>+'přepočet úroků'!C8*7</f>
        <v>97230</v>
      </c>
      <c r="J21" s="1771"/>
      <c r="K21" s="1771"/>
      <c r="L21" s="1771"/>
      <c r="M21" s="1771"/>
      <c r="N21" s="1771"/>
      <c r="O21" s="1771"/>
      <c r="P21" s="1771"/>
      <c r="Q21" s="1771"/>
      <c r="R21" s="1771"/>
      <c r="S21" s="1771"/>
      <c r="T21" s="1771"/>
      <c r="U21" s="1771"/>
      <c r="V21" s="1799"/>
      <c r="W21" s="1771"/>
      <c r="X21" s="1771"/>
      <c r="Y21" s="1830"/>
      <c r="Z21" s="1807"/>
      <c r="AA21" s="1006"/>
    </row>
    <row r="22" spans="1:27" s="1007" customFormat="1" ht="12" customHeight="1">
      <c r="A22" s="1769" t="s">
        <v>1128</v>
      </c>
      <c r="B22" s="1770"/>
      <c r="C22" s="1771"/>
      <c r="D22" s="1771"/>
      <c r="E22" s="1772"/>
      <c r="F22" s="1770">
        <f>13890*6</f>
        <v>83340</v>
      </c>
      <c r="G22" s="1771">
        <v>166680</v>
      </c>
      <c r="H22" s="1772">
        <f>13890*12</f>
        <v>166680</v>
      </c>
      <c r="I22" s="1770">
        <f>+'přepočet úroků'!Q8</f>
        <v>91420</v>
      </c>
      <c r="J22" s="1771"/>
      <c r="K22" s="1771"/>
      <c r="L22" s="1771"/>
      <c r="M22" s="1771"/>
      <c r="N22" s="1771"/>
      <c r="O22" s="1771"/>
      <c r="P22" s="1771"/>
      <c r="Q22" s="1771"/>
      <c r="R22" s="1771"/>
      <c r="S22" s="1771"/>
      <c r="T22" s="1771"/>
      <c r="U22" s="1771"/>
      <c r="V22" s="1799"/>
      <c r="W22" s="1771"/>
      <c r="X22" s="1771"/>
      <c r="Y22" s="1830"/>
      <c r="Z22" s="1807"/>
      <c r="AA22" s="1006"/>
    </row>
    <row r="23" spans="1:27" s="1007" customFormat="1" ht="12" customHeight="1">
      <c r="A23" s="1002" t="s">
        <v>2109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0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1">
        <f>+'přepočet úroků'!Q156</f>
        <v>0</v>
      </c>
      <c r="Z23" s="1808">
        <f>+'přepočet úroků'!Q165</f>
        <v>0</v>
      </c>
      <c r="AA23" s="1006"/>
    </row>
    <row r="24" spans="1:27" s="1007" customFormat="1" ht="12" customHeight="1">
      <c r="A24" s="1002" t="s">
        <v>2110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0">
        <f t="shared" si="3"/>
        <v>681660</v>
      </c>
      <c r="W24" s="1004">
        <f t="shared" si="3"/>
        <v>681660</v>
      </c>
      <c r="X24" s="1004">
        <f t="shared" si="3"/>
        <v>681660</v>
      </c>
      <c r="Y24" s="1831">
        <f t="shared" si="3"/>
        <v>681660</v>
      </c>
      <c r="Z24" s="1808">
        <f t="shared" si="3"/>
        <v>681660</v>
      </c>
      <c r="AA24" s="1006"/>
    </row>
    <row r="25" spans="1:27" s="1007" customFormat="1" ht="12" customHeight="1">
      <c r="A25" s="1002" t="s">
        <v>2112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0"/>
      <c r="W25" s="1004"/>
      <c r="X25" s="1004"/>
      <c r="Y25" s="1831"/>
      <c r="Z25" s="1808"/>
      <c r="AA25" s="1006"/>
    </row>
    <row r="26" spans="1:27" s="1007" customFormat="1" ht="12" customHeight="1">
      <c r="A26" s="1002" t="s">
        <v>2111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0"/>
      <c r="W26" s="1004"/>
      <c r="X26" s="1004"/>
      <c r="Y26" s="1831"/>
      <c r="Z26" s="1808"/>
      <c r="AA26" s="1006"/>
    </row>
    <row r="27" spans="1:27" s="1012" customFormat="1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1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09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0"/>
      <c r="W29" s="1810"/>
      <c r="X29" s="1016"/>
      <c r="Y29" s="1818"/>
      <c r="Z29" s="1814"/>
      <c r="AA29" s="954"/>
    </row>
    <row r="30" spans="1:27" s="973" customFormat="1" ht="13.1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794">
        <f t="shared" si="6"/>
        <v>1279472</v>
      </c>
      <c r="W30" s="1794"/>
      <c r="X30" s="902"/>
      <c r="Y30" s="1819"/>
      <c r="Z30" s="955"/>
      <c r="AA30" s="954"/>
    </row>
    <row r="31" spans="1:27" s="973" customFormat="1" ht="13.15">
      <c r="A31" s="983" t="s">
        <v>763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1"/>
      <c r="W31" s="1811"/>
      <c r="X31" s="965"/>
      <c r="Y31" s="1820"/>
      <c r="Z31" s="1815"/>
      <c r="AA31" s="954"/>
    </row>
    <row r="32" spans="1:27" s="989" customFormat="1" ht="13.15">
      <c r="A32" s="1776" t="s">
        <v>1131</v>
      </c>
      <c r="B32" s="1777"/>
      <c r="C32" s="1778"/>
      <c r="D32" s="1767"/>
      <c r="E32" s="1768"/>
      <c r="F32" s="1766">
        <f>+B6-F20</f>
        <v>14580000</v>
      </c>
      <c r="G32" s="1767">
        <v>13980000</v>
      </c>
      <c r="H32" s="1768">
        <v>13260000</v>
      </c>
      <c r="I32" s="1397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12"/>
      <c r="W32" s="1812"/>
      <c r="X32" s="1089"/>
      <c r="Y32" s="1821"/>
      <c r="Z32" s="1816"/>
      <c r="AA32" s="872"/>
    </row>
    <row r="33" spans="1:27" s="989" customFormat="1" ht="13.15">
      <c r="A33" s="1776" t="s">
        <v>2159</v>
      </c>
      <c r="B33" s="1777"/>
      <c r="C33" s="1767"/>
      <c r="D33" s="1767"/>
      <c r="E33" s="1768"/>
      <c r="F33" s="1766">
        <f>+B7-F22</f>
        <v>2416660</v>
      </c>
      <c r="G33" s="1767">
        <v>2249980</v>
      </c>
      <c r="H33" s="1768">
        <v>2083300</v>
      </c>
      <c r="I33" s="1397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12"/>
      <c r="W33" s="1812"/>
      <c r="X33" s="1089"/>
      <c r="Y33" s="1821"/>
      <c r="Z33" s="1816"/>
      <c r="AA33" s="872"/>
    </row>
    <row r="34" spans="1:27" s="989" customFormat="1" ht="13.15">
      <c r="A34" s="1396" t="s">
        <v>2160</v>
      </c>
      <c r="B34" s="987"/>
      <c r="C34" s="1089"/>
      <c r="D34" s="1089"/>
      <c r="E34" s="1398"/>
      <c r="F34" s="1397"/>
      <c r="G34" s="1089"/>
      <c r="H34" s="1779"/>
      <c r="I34" s="1397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12">
        <f t="shared" si="8"/>
        <v>5435604.8705000002</v>
      </c>
      <c r="W34" s="1812">
        <f t="shared" si="8"/>
        <v>4753944.8705000002</v>
      </c>
      <c r="X34" s="1089">
        <f t="shared" si="8"/>
        <v>4072284.8705000002</v>
      </c>
      <c r="Y34" s="1821">
        <f t="shared" si="8"/>
        <v>3390624.8705000002</v>
      </c>
      <c r="Z34" s="1816">
        <f t="shared" si="8"/>
        <v>2708964.8705000002</v>
      </c>
      <c r="AA34" s="872"/>
    </row>
    <row r="35" spans="1:27" s="1007" customFormat="1" ht="13.15">
      <c r="A35" s="1775" t="s">
        <v>2161</v>
      </c>
      <c r="B35" s="1773"/>
      <c r="C35" s="1004"/>
      <c r="D35" s="1004"/>
      <c r="E35" s="1005"/>
      <c r="F35" s="1003"/>
      <c r="G35" s="1004"/>
      <c r="H35" s="1774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0"/>
      <c r="W35" s="1800"/>
      <c r="X35" s="1004"/>
      <c r="Y35" s="1822"/>
      <c r="Z35" s="1808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1"/>
      <c r="W36" s="1811"/>
      <c r="X36" s="965"/>
      <c r="Y36" s="1820"/>
      <c r="Z36" s="1815"/>
      <c r="AA36" s="954"/>
    </row>
    <row r="37" spans="1:27" s="1012" customFormat="1" thickBot="1">
      <c r="A37" s="1025" t="s">
        <v>773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13">
        <f t="shared" si="10"/>
        <v>6715076.8705000002</v>
      </c>
      <c r="W37" s="1834">
        <f t="shared" si="10"/>
        <v>4753944.8705000002</v>
      </c>
      <c r="X37" s="1027">
        <f t="shared" si="10"/>
        <v>4072284.8705000002</v>
      </c>
      <c r="Y37" s="1813">
        <f t="shared" si="10"/>
        <v>3390624.8705000002</v>
      </c>
      <c r="Z37" s="1817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2025'!L238</f>
        <v>255678336</v>
      </c>
      <c r="K39" s="1030">
        <f t="shared" ref="K39:Z39" si="11">+J39*1.005</f>
        <v>256956727.67999998</v>
      </c>
      <c r="L39" s="1030">
        <f t="shared" si="11"/>
        <v>258241511.31839994</v>
      </c>
      <c r="M39" s="1030">
        <f t="shared" si="11"/>
        <v>259532718.87499189</v>
      </c>
      <c r="N39" s="1030">
        <f t="shared" si="11"/>
        <v>260830382.46936682</v>
      </c>
      <c r="O39" s="1030">
        <f t="shared" si="11"/>
        <v>262134534.38171363</v>
      </c>
      <c r="P39" s="1030">
        <f t="shared" si="11"/>
        <v>263445207.05362216</v>
      </c>
      <c r="Q39" s="1030">
        <f t="shared" si="11"/>
        <v>264762433.08889022</v>
      </c>
      <c r="R39" s="1030">
        <f t="shared" si="11"/>
        <v>266086245.25433466</v>
      </c>
      <c r="S39" s="1030">
        <f t="shared" si="11"/>
        <v>267416676.48060632</v>
      </c>
      <c r="T39" s="1030">
        <f t="shared" si="11"/>
        <v>268753759.86300933</v>
      </c>
      <c r="U39" s="1030">
        <f t="shared" si="11"/>
        <v>270097528.66232437</v>
      </c>
      <c r="V39" s="1832">
        <f t="shared" si="11"/>
        <v>271448016.30563599</v>
      </c>
      <c r="W39" s="1832">
        <f t="shared" si="11"/>
        <v>272805256.38716412</v>
      </c>
      <c r="X39" s="1030">
        <f t="shared" si="11"/>
        <v>274169282.66909993</v>
      </c>
      <c r="Y39" s="1835">
        <f t="shared" si="11"/>
        <v>275540129.08244538</v>
      </c>
      <c r="Z39" s="1031">
        <f t="shared" si="11"/>
        <v>276917829.72785759</v>
      </c>
      <c r="AA39" s="954"/>
    </row>
    <row r="40" spans="1:27" ht="14.6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3.6831791558319588E-2</v>
      </c>
      <c r="K40" s="1036">
        <f t="shared" si="12"/>
        <v>4.7717770626421144E-2</v>
      </c>
      <c r="L40" s="1036">
        <f t="shared" si="12"/>
        <v>3.1644582265801441E-2</v>
      </c>
      <c r="M40" s="1036">
        <f t="shared" si="12"/>
        <v>2.322393887802324E-2</v>
      </c>
      <c r="N40" s="1036">
        <f t="shared" si="12"/>
        <v>2.3108396893555466E-2</v>
      </c>
      <c r="O40" s="1036">
        <f t="shared" si="12"/>
        <v>2.299342974483131E-2</v>
      </c>
      <c r="P40" s="1036">
        <f t="shared" si="12"/>
        <v>2.2879034571971456E-2</v>
      </c>
      <c r="Q40" s="1036">
        <f t="shared" si="12"/>
        <v>2.1907005205880858E-2</v>
      </c>
      <c r="R40" s="1036">
        <f t="shared" si="12"/>
        <v>2.1798015130229709E-2</v>
      </c>
      <c r="S40" s="1036">
        <f t="shared" si="12"/>
        <v>2.1689567293760904E-2</v>
      </c>
      <c r="T40" s="1036">
        <f t="shared" si="12"/>
        <v>2.1581658998767073E-2</v>
      </c>
      <c r="U40" s="1036">
        <f t="shared" si="12"/>
        <v>2.1474287560962261E-2</v>
      </c>
      <c r="V40" s="1833">
        <f t="shared" si="12"/>
        <v>2.1367450309415184E-2</v>
      </c>
      <c r="W40" s="1833">
        <f t="shared" ref="W40:Z40" si="13">+W27/W39</f>
        <v>2.4987055199280723E-3</v>
      </c>
      <c r="X40" s="1036">
        <f t="shared" si="13"/>
        <v>2.4862741491821615E-3</v>
      </c>
      <c r="Y40" s="1836">
        <f t="shared" si="13"/>
        <v>2.4739046260519025E-3</v>
      </c>
      <c r="Z40" s="1037">
        <f t="shared" si="13"/>
        <v>2.461596642837714E-3</v>
      </c>
      <c r="AA40" s="954"/>
    </row>
    <row r="41" spans="1:27" ht="14.6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0.39058155036842857</v>
      </c>
      <c r="K41" s="1041">
        <f t="shared" si="14"/>
        <v>0.36518159971027542</v>
      </c>
      <c r="L41" s="1041">
        <f t="shared" si="14"/>
        <v>0.34002471725870653</v>
      </c>
      <c r="M41" s="1041">
        <f t="shared" si="14"/>
        <v>0.31510911312068979</v>
      </c>
      <c r="N41" s="1041">
        <f t="shared" si="14"/>
        <v>0.29043300919668313</v>
      </c>
      <c r="O41" s="1041">
        <f t="shared" si="14"/>
        <v>0.26599463910758975</v>
      </c>
      <c r="P41" s="1041">
        <f t="shared" si="14"/>
        <v>0.24179224812214775</v>
      </c>
      <c r="Q41" s="1041">
        <f t="shared" si="14"/>
        <v>0.21868229640819656</v>
      </c>
      <c r="R41" s="1041">
        <f t="shared" si="14"/>
        <v>0.19579630965404549</v>
      </c>
      <c r="S41" s="1041">
        <f t="shared" si="14"/>
        <v>0.17313263136698087</v>
      </c>
      <c r="T41" s="1041">
        <f t="shared" si="14"/>
        <v>6.8149300980331645E-2</v>
      </c>
      <c r="U41" s="1041">
        <f t="shared" si="14"/>
        <v>4.633596217071103E-2</v>
      </c>
      <c r="V41" s="1042">
        <f t="shared" si="14"/>
        <v>2.4737984686317185E-2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8" type="noConversion"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celkem'!$DD$34+'Výdaje kapitol celkem'!$DG$34+'Výdaje kapitol celkem'!$DJ$34</f>
        <v>7150000</v>
      </c>
      <c r="R7" s="52">
        <f>+'Výdaje kapitol celkem'!$DD$34+'Výdaje kapitol celkem'!$DG$34+'Výdaje kapitol celkem'!$DJ$34</f>
        <v>7150000</v>
      </c>
      <c r="S7" s="51">
        <f>+'Výdaje kapitol celkem'!$DD$34+'Výdaje kapitol celkem'!$DG$34+'Výdaje kapitol celkem'!$DJ$34</f>
        <v>7150000</v>
      </c>
      <c r="T7" s="51">
        <f>+'Výdaje kapitol celkem'!$DD$34+'Výdaje kapitol celkem'!$DG$34+'Výdaje kapitol celkem'!$DJ$34</f>
        <v>7150000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celkem'!$CG$54</f>
        <v>2210000</v>
      </c>
      <c r="R8" s="52">
        <f>+'Výdaje kapitol celkem'!$CG$54</f>
        <v>2210000</v>
      </c>
      <c r="S8" s="51">
        <f>+'Výdaje kapitol celkem'!$CG$54</f>
        <v>2210000</v>
      </c>
      <c r="T8" s="51">
        <f>+'Výdaje kapitol celkem'!$CG$54</f>
        <v>2210000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28877316</v>
      </c>
      <c r="R18" s="64">
        <f>SUM(R6:R11)</f>
        <v>28019500</v>
      </c>
      <c r="S18" s="64">
        <f>SUM(S6:S11)</f>
        <v>28019500</v>
      </c>
      <c r="T18" s="64">
        <f>SUM(T6:T11)</f>
        <v>26569500</v>
      </c>
    </row>
    <row r="19" spans="2:20" s="54" customFormat="1" ht="14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-16277316</v>
      </c>
      <c r="R27" s="70">
        <f>R25-R18</f>
        <v>-15419500</v>
      </c>
      <c r="S27" s="68">
        <f>S25-S18</f>
        <v>-15419500</v>
      </c>
      <c r="T27" s="68">
        <f>T25-T18</f>
        <v>-13969500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-5864282.75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-6645611.75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-6645611.75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4.25">
      <c r="C42" t="s">
        <v>609</v>
      </c>
      <c r="P42" s="69">
        <f>SUM(P37:P40)</f>
        <v>-6645611.75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301" t="s">
        <v>298</v>
      </c>
      <c r="D3" s="3301"/>
      <c r="E3" s="3301"/>
      <c r="F3" s="3301" t="s">
        <v>299</v>
      </c>
      <c r="G3" s="3301"/>
      <c r="H3" s="3301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celkem'!R38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>
      <c r="B4" s="23" t="s">
        <v>286</v>
      </c>
      <c r="C4" s="15"/>
      <c r="D4" s="16">
        <f>'Výdaje kapitol celkem'!X45</f>
        <v>30900000</v>
      </c>
      <c r="E4" s="16">
        <v>9659037</v>
      </c>
      <c r="F4" s="16">
        <v>9659037</v>
      </c>
    </row>
    <row r="5" spans="1:9" ht="14.25">
      <c r="B5" s="3302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303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4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4.25">
      <c r="B14"/>
      <c r="C14" s="12" t="s">
        <v>269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2025'!L7</f>
        <v>27500000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-27500000</v>
      </c>
    </row>
    <row r="5" spans="1:16" ht="15.75">
      <c r="A5" s="77" t="s">
        <v>14</v>
      </c>
      <c r="B5" s="88">
        <v>1112</v>
      </c>
      <c r="C5" s="103">
        <f>'Souhrn příjmů a výdajů 2025'!L8</f>
        <v>2700000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-2700000</v>
      </c>
    </row>
    <row r="6" spans="1:16" ht="15.75">
      <c r="A6" s="77" t="s">
        <v>15</v>
      </c>
      <c r="B6" s="88">
        <v>1121</v>
      </c>
      <c r="C6" s="103">
        <f>'Souhrn příjmů a výdajů 2025'!L9</f>
        <v>5460000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-5460000</v>
      </c>
    </row>
    <row r="7" spans="1:16" ht="15.75">
      <c r="A7" s="77" t="s">
        <v>481</v>
      </c>
      <c r="B7" s="88">
        <v>1113</v>
      </c>
      <c r="C7" s="103">
        <f>'Souhrn příjmů a výdajů 2025'!L12</f>
        <v>41300000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-41300000</v>
      </c>
    </row>
    <row r="8" spans="1:16" ht="15.75">
      <c r="A8" s="77" t="s">
        <v>16</v>
      </c>
      <c r="B8" s="88">
        <v>1211</v>
      </c>
      <c r="C8" s="103">
        <f>'Souhrn příjmů a výdajů 2025'!L13</f>
        <v>77200000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-77200000</v>
      </c>
    </row>
    <row r="9" spans="1:16" ht="15.75">
      <c r="A9" s="77" t="s">
        <v>18</v>
      </c>
      <c r="B9" s="88" t="s">
        <v>17</v>
      </c>
      <c r="C9" s="103">
        <f>'Souhrn příjmů a výdajů 2025'!L14</f>
        <v>89000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-89000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2025'!L15</f>
        <v>7559000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-7559000</v>
      </c>
    </row>
    <row r="12" spans="1:16" ht="15.75">
      <c r="A12" s="77" t="s">
        <v>21</v>
      </c>
      <c r="B12" s="88">
        <v>1341</v>
      </c>
      <c r="C12" s="103">
        <f>'Souhrn příjmů a výdajů 2025'!L16</f>
        <v>389000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-389000</v>
      </c>
    </row>
    <row r="13" spans="1:16" ht="15.75">
      <c r="A13" s="77" t="s">
        <v>22</v>
      </c>
      <c r="B13" s="88">
        <v>1343</v>
      </c>
      <c r="C13" s="103">
        <f>'Souhrn příjmů a výdajů 2025'!L18</f>
        <v>92500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-92500</v>
      </c>
    </row>
    <row r="14" spans="1:16" ht="15.75">
      <c r="A14" s="77" t="s">
        <v>23</v>
      </c>
      <c r="B14" s="88">
        <v>1344</v>
      </c>
      <c r="C14" s="103">
        <f>'Souhrn příjmů a výdajů 2025'!L19</f>
        <v>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0</v>
      </c>
    </row>
    <row r="15" spans="1:16" ht="15.75">
      <c r="A15" s="77" t="s">
        <v>24</v>
      </c>
      <c r="B15" s="88">
        <v>1345</v>
      </c>
      <c r="C15" s="103">
        <f>'Souhrn příjmů a výdajů 2025'!L20</f>
        <v>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0</v>
      </c>
    </row>
    <row r="16" spans="1:16" ht="15.75">
      <c r="A16" s="77" t="s">
        <v>25</v>
      </c>
      <c r="B16" s="88">
        <v>1347</v>
      </c>
      <c r="C16" s="103">
        <f>'Souhrn příjmů a výdajů 2025'!L21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2025'!L22</f>
        <v>4120000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-4120000</v>
      </c>
    </row>
    <row r="18" spans="1:16" ht="15.75">
      <c r="A18" s="77" t="s">
        <v>480</v>
      </c>
      <c r="B18" s="88" t="s">
        <v>26</v>
      </c>
      <c r="C18" s="103">
        <f>'Souhrn příjmů a výdajů 2025'!L23</f>
        <v>13050000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-13050000</v>
      </c>
    </row>
    <row r="19" spans="1:16" ht="15.75">
      <c r="A19" s="77" t="s">
        <v>482</v>
      </c>
      <c r="B19" s="88">
        <v>1381</v>
      </c>
      <c r="C19" s="103" t="e">
        <f>'Souhrn příjmů a výdajů 2025'!#REF!</f>
        <v>#REF!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 t="e">
        <f t="shared" si="0"/>
        <v>#REF!</v>
      </c>
    </row>
    <row r="20" spans="1:16" ht="15.75">
      <c r="A20" s="77" t="s">
        <v>28</v>
      </c>
      <c r="B20" s="88">
        <v>1381</v>
      </c>
      <c r="C20" s="103" t="e">
        <f>'Souhrn příjmů a výdajů 2025'!#REF!</f>
        <v>#REF!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 t="e">
        <f t="shared" si="0"/>
        <v>#REF!</v>
      </c>
    </row>
    <row r="21" spans="1:16" ht="15.75">
      <c r="A21" s="77" t="s">
        <v>30</v>
      </c>
      <c r="B21" s="88" t="s">
        <v>29</v>
      </c>
      <c r="C21" s="103">
        <f>'Souhrn příjmů a výdajů 2025'!L26</f>
        <v>1200000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-1200000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2025'!L27</f>
        <v>14190000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-14190000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793</v>
      </c>
      <c r="C2" s="10"/>
    </row>
    <row r="4" spans="1:4" ht="14.25">
      <c r="A4" s="1224" t="s">
        <v>794</v>
      </c>
      <c r="B4" s="1224" t="s">
        <v>795</v>
      </c>
      <c r="C4" s="1225" t="s">
        <v>493</v>
      </c>
      <c r="D4" s="1224" t="s">
        <v>796</v>
      </c>
    </row>
    <row r="5" spans="1:4">
      <c r="C5" s="1226"/>
    </row>
    <row r="6" spans="1:4">
      <c r="B6" t="s">
        <v>797</v>
      </c>
      <c r="C6" s="1233" t="s">
        <v>798</v>
      </c>
      <c r="D6" s="1227" t="s">
        <v>799</v>
      </c>
    </row>
    <row r="7" spans="1:4">
      <c r="B7" t="s">
        <v>1467</v>
      </c>
      <c r="C7" s="1233" t="s">
        <v>800</v>
      </c>
      <c r="D7" s="1227" t="s">
        <v>801</v>
      </c>
    </row>
    <row r="8" spans="1:4">
      <c r="B8" t="s">
        <v>802</v>
      </c>
      <c r="C8" s="1233" t="s">
        <v>803</v>
      </c>
      <c r="D8" s="1227" t="s">
        <v>804</v>
      </c>
    </row>
    <row r="9" spans="1:4" ht="14.25">
      <c r="A9" s="1234">
        <v>43374</v>
      </c>
      <c r="B9" s="1235" t="s">
        <v>805</v>
      </c>
      <c r="C9" s="1236" t="s">
        <v>806</v>
      </c>
      <c r="D9" s="1237" t="s">
        <v>807</v>
      </c>
    </row>
    <row r="10" spans="1:4">
      <c r="B10" t="s">
        <v>797</v>
      </c>
      <c r="C10" s="1233" t="s">
        <v>808</v>
      </c>
      <c r="D10" s="1227" t="s">
        <v>809</v>
      </c>
    </row>
    <row r="11" spans="1:4">
      <c r="B11" t="s">
        <v>1467</v>
      </c>
      <c r="C11" s="1233" t="s">
        <v>800</v>
      </c>
      <c r="D11" s="1227" t="s">
        <v>810</v>
      </c>
    </row>
    <row r="12" spans="1:4">
      <c r="B12" t="s">
        <v>811</v>
      </c>
      <c r="C12" s="1233" t="s">
        <v>803</v>
      </c>
      <c r="D12" s="1227" t="s">
        <v>804</v>
      </c>
    </row>
    <row r="13" spans="1:4" ht="14.25">
      <c r="A13" s="1234">
        <v>43405</v>
      </c>
      <c r="B13" s="1235" t="s">
        <v>805</v>
      </c>
      <c r="C13" s="1238" t="s">
        <v>812</v>
      </c>
      <c r="D13" s="1239" t="s">
        <v>813</v>
      </c>
    </row>
    <row r="14" spans="1:4">
      <c r="B14" t="s">
        <v>797</v>
      </c>
      <c r="C14" s="1233" t="s">
        <v>814</v>
      </c>
      <c r="D14" s="1227" t="s">
        <v>815</v>
      </c>
    </row>
    <row r="15" spans="1:4">
      <c r="B15" t="s">
        <v>1467</v>
      </c>
      <c r="C15" s="1233" t="s">
        <v>816</v>
      </c>
      <c r="D15" s="1227" t="s">
        <v>817</v>
      </c>
    </row>
    <row r="16" spans="1:4">
      <c r="B16" t="s">
        <v>811</v>
      </c>
      <c r="C16" s="1233" t="s">
        <v>818</v>
      </c>
      <c r="D16" s="1227" t="s">
        <v>804</v>
      </c>
    </row>
    <row r="17" spans="1:4" ht="14.25">
      <c r="A17" s="1240">
        <v>43465</v>
      </c>
      <c r="B17" s="1241" t="s">
        <v>805</v>
      </c>
      <c r="C17" s="1242" t="s">
        <v>819</v>
      </c>
      <c r="D17" s="1243" t="s">
        <v>820</v>
      </c>
    </row>
    <row r="18" spans="1:4">
      <c r="B18" t="s">
        <v>797</v>
      </c>
      <c r="C18" s="1233" t="s">
        <v>821</v>
      </c>
      <c r="D18" s="1227" t="s">
        <v>822</v>
      </c>
    </row>
    <row r="19" spans="1:4">
      <c r="B19" t="s">
        <v>1467</v>
      </c>
      <c r="C19" s="1233" t="s">
        <v>823</v>
      </c>
      <c r="D19" s="1227" t="s">
        <v>824</v>
      </c>
    </row>
    <row r="20" spans="1:4">
      <c r="B20" t="s">
        <v>811</v>
      </c>
      <c r="C20" s="1233" t="s">
        <v>818</v>
      </c>
      <c r="D20" s="1227" t="s">
        <v>804</v>
      </c>
    </row>
    <row r="21" spans="1:4" ht="14.25">
      <c r="A21" s="1234">
        <v>43496</v>
      </c>
      <c r="B21" s="1235" t="s">
        <v>805</v>
      </c>
      <c r="C21" s="1236" t="s">
        <v>825</v>
      </c>
      <c r="D21" s="1237" t="s">
        <v>826</v>
      </c>
    </row>
    <row r="22" spans="1:4">
      <c r="B22" t="s">
        <v>797</v>
      </c>
      <c r="C22" s="1233" t="s">
        <v>827</v>
      </c>
      <c r="D22" s="1227" t="s">
        <v>828</v>
      </c>
    </row>
    <row r="23" spans="1:4">
      <c r="B23" t="s">
        <v>1467</v>
      </c>
      <c r="C23" s="1233" t="s">
        <v>823</v>
      </c>
      <c r="D23" s="1227" t="s">
        <v>829</v>
      </c>
    </row>
    <row r="24" spans="1:4">
      <c r="B24" t="s">
        <v>811</v>
      </c>
      <c r="C24" s="1233" t="s">
        <v>818</v>
      </c>
      <c r="D24" s="1227" t="s">
        <v>804</v>
      </c>
    </row>
    <row r="25" spans="1:4" ht="14.25">
      <c r="A25" s="1234">
        <v>43524</v>
      </c>
      <c r="B25" s="1235" t="s">
        <v>805</v>
      </c>
      <c r="C25" s="1236" t="s">
        <v>830</v>
      </c>
      <c r="D25" s="1237" t="s">
        <v>831</v>
      </c>
    </row>
    <row r="26" spans="1:4">
      <c r="B26" t="s">
        <v>797</v>
      </c>
      <c r="C26" s="1233" t="s">
        <v>832</v>
      </c>
      <c r="D26" s="1227" t="s">
        <v>833</v>
      </c>
    </row>
    <row r="27" spans="1:4">
      <c r="B27" t="s">
        <v>1467</v>
      </c>
      <c r="C27" s="1233" t="s">
        <v>823</v>
      </c>
      <c r="D27" s="1227" t="s">
        <v>834</v>
      </c>
    </row>
    <row r="28" spans="1:4">
      <c r="B28" t="s">
        <v>811</v>
      </c>
      <c r="C28" s="1233" t="s">
        <v>835</v>
      </c>
      <c r="D28" s="1227" t="s">
        <v>804</v>
      </c>
    </row>
    <row r="29" spans="1:4" ht="14.25">
      <c r="A29" s="1234">
        <v>43555</v>
      </c>
      <c r="B29" s="1235" t="s">
        <v>805</v>
      </c>
      <c r="C29" s="1238" t="s">
        <v>836</v>
      </c>
      <c r="D29" s="1239" t="s">
        <v>837</v>
      </c>
    </row>
    <row r="30" spans="1:4">
      <c r="B30" t="s">
        <v>797</v>
      </c>
      <c r="C30" s="1233" t="s">
        <v>838</v>
      </c>
      <c r="D30" s="1227" t="s">
        <v>839</v>
      </c>
    </row>
    <row r="31" spans="1:4">
      <c r="B31" t="s">
        <v>1467</v>
      </c>
      <c r="C31" s="1233" t="s">
        <v>840</v>
      </c>
      <c r="D31" s="1227" t="s">
        <v>841</v>
      </c>
    </row>
    <row r="32" spans="1:4">
      <c r="B32" t="s">
        <v>811</v>
      </c>
      <c r="C32" s="1227" t="s">
        <v>835</v>
      </c>
      <c r="D32" s="1227" t="s">
        <v>804</v>
      </c>
    </row>
    <row r="33" spans="1:5" ht="14.25">
      <c r="A33" s="1234">
        <v>43585</v>
      </c>
      <c r="B33" s="1235" t="s">
        <v>805</v>
      </c>
      <c r="C33" s="1238" t="s">
        <v>842</v>
      </c>
      <c r="D33" s="1239" t="s">
        <v>843</v>
      </c>
    </row>
    <row r="34" spans="1:5">
      <c r="B34" t="s">
        <v>797</v>
      </c>
      <c r="C34" s="1227" t="s">
        <v>844</v>
      </c>
      <c r="D34" s="1227" t="s">
        <v>845</v>
      </c>
    </row>
    <row r="35" spans="1:5">
      <c r="B35" t="s">
        <v>1467</v>
      </c>
      <c r="C35" s="1227" t="s">
        <v>846</v>
      </c>
      <c r="D35" s="1227" t="s">
        <v>847</v>
      </c>
    </row>
    <row r="36" spans="1:5">
      <c r="B36" t="s">
        <v>1450</v>
      </c>
      <c r="C36" s="1227" t="s">
        <v>848</v>
      </c>
      <c r="D36" s="1227" t="s">
        <v>804</v>
      </c>
      <c r="E36" t="s">
        <v>1242</v>
      </c>
    </row>
    <row r="37" spans="1:5" ht="14.25">
      <c r="A37" s="1244"/>
      <c r="B37" s="1245" t="s">
        <v>811</v>
      </c>
      <c r="C37" s="1246" t="s">
        <v>835</v>
      </c>
      <c r="D37" s="1246" t="s">
        <v>804</v>
      </c>
    </row>
    <row r="38" spans="1:5">
      <c r="A38" s="1247">
        <v>43616</v>
      </c>
      <c r="B38" s="1228" t="s">
        <v>805</v>
      </c>
      <c r="C38" s="1229" t="s">
        <v>849</v>
      </c>
      <c r="D38" s="1248" t="s">
        <v>850</v>
      </c>
    </row>
    <row r="39" spans="1:5">
      <c r="B39" t="s">
        <v>797</v>
      </c>
      <c r="C39" s="1227" t="s">
        <v>969</v>
      </c>
      <c r="D39" s="1227" t="s">
        <v>970</v>
      </c>
    </row>
    <row r="40" spans="1:5">
      <c r="B40" t="s">
        <v>1449</v>
      </c>
      <c r="C40" s="1227" t="s">
        <v>971</v>
      </c>
      <c r="D40" s="1227" t="s">
        <v>972</v>
      </c>
    </row>
    <row r="41" spans="1:5" ht="14.25">
      <c r="A41" s="1244"/>
      <c r="B41" s="1245" t="s">
        <v>1450</v>
      </c>
      <c r="C41" s="1246" t="s">
        <v>973</v>
      </c>
      <c r="D41" s="1246" t="s">
        <v>804</v>
      </c>
    </row>
    <row r="42" spans="1:5">
      <c r="B42" t="s">
        <v>811</v>
      </c>
      <c r="C42" s="1227" t="s">
        <v>974</v>
      </c>
      <c r="D42" s="1227" t="s">
        <v>804</v>
      </c>
    </row>
    <row r="43" spans="1:5">
      <c r="A43" s="1249" t="s">
        <v>851</v>
      </c>
      <c r="B43" s="1228"/>
      <c r="C43" s="1229" t="s">
        <v>975</v>
      </c>
      <c r="D43" s="1248" t="s">
        <v>976</v>
      </c>
    </row>
    <row r="44" spans="1:5">
      <c r="B44" t="s">
        <v>797</v>
      </c>
      <c r="C44" s="1227" t="s">
        <v>977</v>
      </c>
      <c r="D44" s="1227" t="s">
        <v>978</v>
      </c>
    </row>
    <row r="45" spans="1:5" ht="13.15">
      <c r="B45" t="s">
        <v>1468</v>
      </c>
      <c r="C45" s="1227" t="s">
        <v>971</v>
      </c>
      <c r="D45" s="1227" t="s">
        <v>979</v>
      </c>
    </row>
    <row r="46" spans="1:5">
      <c r="B46" t="s">
        <v>1450</v>
      </c>
      <c r="C46" s="1227" t="s">
        <v>980</v>
      </c>
      <c r="D46" s="1227" t="s">
        <v>804</v>
      </c>
    </row>
    <row r="47" spans="1:5">
      <c r="B47" t="s">
        <v>811</v>
      </c>
      <c r="C47" s="1227" t="s">
        <v>974</v>
      </c>
      <c r="D47" s="1227" t="s">
        <v>804</v>
      </c>
    </row>
    <row r="48" spans="1:5">
      <c r="A48" s="1247">
        <v>43677</v>
      </c>
      <c r="B48" s="1228" t="s">
        <v>805</v>
      </c>
      <c r="C48" s="1229" t="s">
        <v>981</v>
      </c>
      <c r="D48" s="1248" t="s">
        <v>982</v>
      </c>
    </row>
    <row r="49" spans="1:4">
      <c r="B49" t="s">
        <v>797</v>
      </c>
      <c r="C49" s="1227" t="s">
        <v>983</v>
      </c>
      <c r="D49" s="1227" t="s">
        <v>984</v>
      </c>
    </row>
    <row r="50" spans="1:4" ht="13.15">
      <c r="B50" t="s">
        <v>1469</v>
      </c>
      <c r="C50" s="1227" t="s">
        <v>985</v>
      </c>
      <c r="D50" s="1227" t="s">
        <v>986</v>
      </c>
    </row>
    <row r="51" spans="1:4" ht="13.15">
      <c r="B51" t="s">
        <v>1470</v>
      </c>
      <c r="C51" s="1227" t="s">
        <v>987</v>
      </c>
      <c r="D51" s="1227" t="s">
        <v>804</v>
      </c>
    </row>
    <row r="52" spans="1:4">
      <c r="B52" t="s">
        <v>811</v>
      </c>
      <c r="C52" s="1227" t="s">
        <v>974</v>
      </c>
      <c r="D52" s="1227" t="s">
        <v>804</v>
      </c>
    </row>
    <row r="53" spans="1:4">
      <c r="A53" s="1232">
        <v>43708</v>
      </c>
      <c r="B53" s="1228" t="s">
        <v>805</v>
      </c>
      <c r="C53" s="1229" t="s">
        <v>988</v>
      </c>
      <c r="D53" s="1229" t="s">
        <v>989</v>
      </c>
    </row>
    <row r="54" spans="1:4">
      <c r="B54" t="s">
        <v>797</v>
      </c>
      <c r="C54" s="1227" t="s">
        <v>990</v>
      </c>
      <c r="D54" s="1227" t="s">
        <v>991</v>
      </c>
    </row>
    <row r="55" spans="1:4">
      <c r="B55" t="s">
        <v>1449</v>
      </c>
      <c r="C55" s="1227" t="s">
        <v>992</v>
      </c>
      <c r="D55" s="1227" t="s">
        <v>993</v>
      </c>
    </row>
    <row r="56" spans="1:4">
      <c r="B56" t="s">
        <v>1450</v>
      </c>
      <c r="C56" s="1227" t="s">
        <v>994</v>
      </c>
      <c r="D56" s="1227" t="s">
        <v>995</v>
      </c>
    </row>
    <row r="57" spans="1:4">
      <c r="B57" t="s">
        <v>811</v>
      </c>
      <c r="C57" s="1227" t="s">
        <v>996</v>
      </c>
      <c r="D57" s="1227" t="s">
        <v>804</v>
      </c>
    </row>
    <row r="58" spans="1:4">
      <c r="A58" s="1228" t="s">
        <v>997</v>
      </c>
      <c r="B58" s="1228"/>
      <c r="C58" s="1229" t="s">
        <v>998</v>
      </c>
      <c r="D58" s="1229">
        <v>286953.67</v>
      </c>
    </row>
    <row r="59" spans="1:4">
      <c r="B59" t="s">
        <v>797</v>
      </c>
      <c r="C59" s="1227" t="s">
        <v>999</v>
      </c>
      <c r="D59" s="1227" t="s">
        <v>1000</v>
      </c>
    </row>
    <row r="60" spans="1:4">
      <c r="B60" t="s">
        <v>1449</v>
      </c>
      <c r="C60" s="1227" t="s">
        <v>1001</v>
      </c>
      <c r="D60" s="1227" t="s">
        <v>1002</v>
      </c>
    </row>
    <row r="61" spans="1:4">
      <c r="B61" t="s">
        <v>1450</v>
      </c>
      <c r="C61" s="1227" t="s">
        <v>994</v>
      </c>
      <c r="D61" s="1227" t="s">
        <v>804</v>
      </c>
    </row>
    <row r="62" spans="1:4">
      <c r="B62" t="s">
        <v>811</v>
      </c>
      <c r="C62" s="1227" t="s">
        <v>996</v>
      </c>
      <c r="D62" s="1227" t="s">
        <v>804</v>
      </c>
    </row>
    <row r="63" spans="1:4">
      <c r="A63" s="1228" t="s">
        <v>1003</v>
      </c>
      <c r="B63" s="1228"/>
      <c r="C63" s="1229" t="s">
        <v>1004</v>
      </c>
      <c r="D63" s="1229" t="s">
        <v>1005</v>
      </c>
    </row>
    <row r="64" spans="1:4">
      <c r="B64" t="s">
        <v>797</v>
      </c>
      <c r="C64" s="1227" t="s">
        <v>1006</v>
      </c>
      <c r="D64" s="1227" t="s">
        <v>1007</v>
      </c>
    </row>
    <row r="65" spans="1:4">
      <c r="B65" t="s">
        <v>1449</v>
      </c>
      <c r="C65" s="1227" t="s">
        <v>1008</v>
      </c>
      <c r="D65" s="1227" t="s">
        <v>1009</v>
      </c>
    </row>
    <row r="66" spans="1:4">
      <c r="B66" t="s">
        <v>1450</v>
      </c>
      <c r="C66" s="1227" t="s">
        <v>994</v>
      </c>
      <c r="D66" s="1227" t="s">
        <v>804</v>
      </c>
    </row>
    <row r="67" spans="1:4">
      <c r="B67" t="s">
        <v>811</v>
      </c>
      <c r="C67" s="1227" t="s">
        <v>996</v>
      </c>
      <c r="D67" s="1227" t="s">
        <v>804</v>
      </c>
    </row>
    <row r="68" spans="1:4">
      <c r="A68" s="1228" t="s">
        <v>1010</v>
      </c>
      <c r="B68" s="1228"/>
      <c r="C68" s="1229" t="s">
        <v>1011</v>
      </c>
      <c r="D68" s="1229" t="s">
        <v>1012</v>
      </c>
    </row>
    <row r="69" spans="1:4">
      <c r="B69" t="s">
        <v>797</v>
      </c>
      <c r="C69" s="1227" t="s">
        <v>1006</v>
      </c>
      <c r="D69" s="1227" t="s">
        <v>1013</v>
      </c>
    </row>
    <row r="70" spans="1:4">
      <c r="B70" t="s">
        <v>1449</v>
      </c>
      <c r="C70" s="1227" t="s">
        <v>1008</v>
      </c>
      <c r="D70" s="1227" t="s">
        <v>1014</v>
      </c>
    </row>
    <row r="71" spans="1:4">
      <c r="B71" t="s">
        <v>1450</v>
      </c>
      <c r="C71" s="1227" t="s">
        <v>994</v>
      </c>
      <c r="D71" s="1227" t="s">
        <v>1015</v>
      </c>
    </row>
    <row r="72" spans="1:4">
      <c r="B72" t="s">
        <v>811</v>
      </c>
      <c r="C72" s="1227" t="s">
        <v>804</v>
      </c>
      <c r="D72" s="1227" t="s">
        <v>804</v>
      </c>
    </row>
    <row r="73" spans="1:4">
      <c r="A73" s="1230" t="s">
        <v>1016</v>
      </c>
      <c r="B73" s="1230"/>
      <c r="C73" s="1231" t="s">
        <v>1017</v>
      </c>
      <c r="D73" s="1231" t="s">
        <v>1018</v>
      </c>
    </row>
    <row r="74" spans="1:4">
      <c r="B74" t="s">
        <v>797</v>
      </c>
      <c r="C74" s="1227" t="s">
        <v>1019</v>
      </c>
      <c r="D74" s="1227" t="s">
        <v>1020</v>
      </c>
    </row>
    <row r="75" spans="1:4">
      <c r="B75" t="s">
        <v>1449</v>
      </c>
      <c r="C75" s="1227" t="s">
        <v>1021</v>
      </c>
      <c r="D75" s="1227" t="s">
        <v>1022</v>
      </c>
    </row>
    <row r="76" spans="1:4">
      <c r="B76" t="s">
        <v>1450</v>
      </c>
      <c r="C76" s="1227" t="s">
        <v>994</v>
      </c>
      <c r="D76" s="1227" t="s">
        <v>804</v>
      </c>
    </row>
    <row r="77" spans="1:4">
      <c r="A77" s="1228" t="s">
        <v>1023</v>
      </c>
      <c r="B77" s="1228"/>
      <c r="C77" s="1229" t="s">
        <v>1024</v>
      </c>
      <c r="D77" s="1229" t="s">
        <v>1025</v>
      </c>
    </row>
    <row r="78" spans="1:4">
      <c r="B78" t="s">
        <v>797</v>
      </c>
      <c r="C78" s="1227" t="s">
        <v>1026</v>
      </c>
      <c r="D78" s="1227" t="s">
        <v>1027</v>
      </c>
    </row>
    <row r="79" spans="1:4">
      <c r="B79" t="s">
        <v>1449</v>
      </c>
      <c r="C79" s="1227" t="s">
        <v>1028</v>
      </c>
      <c r="D79" s="1227" t="s">
        <v>1029</v>
      </c>
    </row>
    <row r="80" spans="1:4">
      <c r="B80" t="s">
        <v>1450</v>
      </c>
      <c r="C80" s="1227" t="s">
        <v>994</v>
      </c>
      <c r="D80" s="1227" t="s">
        <v>804</v>
      </c>
    </row>
    <row r="81" spans="1:4">
      <c r="A81" s="1228" t="s">
        <v>1030</v>
      </c>
      <c r="B81" s="1228"/>
      <c r="C81" s="1229" t="s">
        <v>1031</v>
      </c>
      <c r="D81" s="1229" t="s">
        <v>1032</v>
      </c>
    </row>
    <row r="82" spans="1:4">
      <c r="B82" t="s">
        <v>797</v>
      </c>
      <c r="C82" s="1227" t="s">
        <v>1103</v>
      </c>
      <c r="D82" s="1227" t="s">
        <v>1104</v>
      </c>
    </row>
    <row r="83" spans="1:4">
      <c r="B83" t="s">
        <v>1449</v>
      </c>
      <c r="C83" s="1227" t="s">
        <v>1105</v>
      </c>
      <c r="D83" s="1227" t="s">
        <v>1106</v>
      </c>
    </row>
    <row r="84" spans="1:4">
      <c r="B84" t="s">
        <v>1450</v>
      </c>
      <c r="C84" s="1227" t="s">
        <v>994</v>
      </c>
      <c r="D84" s="1227" t="s">
        <v>1107</v>
      </c>
    </row>
    <row r="85" spans="1:4">
      <c r="A85" s="1228" t="s">
        <v>1108</v>
      </c>
      <c r="B85" s="1228"/>
      <c r="C85" s="1229" t="s">
        <v>1109</v>
      </c>
      <c r="D85" s="1229" t="s">
        <v>1110</v>
      </c>
    </row>
    <row r="86" spans="1:4">
      <c r="B86" t="s">
        <v>797</v>
      </c>
      <c r="C86" s="1227" t="s">
        <v>1111</v>
      </c>
      <c r="D86" s="1227" t="s">
        <v>1112</v>
      </c>
    </row>
    <row r="87" spans="1:4">
      <c r="B87" t="s">
        <v>1449</v>
      </c>
      <c r="C87" s="1227" t="s">
        <v>1113</v>
      </c>
      <c r="D87" s="1227" t="s">
        <v>1114</v>
      </c>
    </row>
    <row r="88" spans="1:4">
      <c r="B88" t="s">
        <v>1450</v>
      </c>
      <c r="C88" s="1227" t="s">
        <v>994</v>
      </c>
      <c r="D88" s="1227" t="s">
        <v>804</v>
      </c>
    </row>
    <row r="89" spans="1:4">
      <c r="A89" s="1232">
        <v>43951</v>
      </c>
      <c r="B89" s="1228" t="s">
        <v>805</v>
      </c>
      <c r="C89" s="1229" t="s">
        <v>1115</v>
      </c>
      <c r="D89" s="1229" t="s">
        <v>1116</v>
      </c>
    </row>
    <row r="90" spans="1:4">
      <c r="B90" t="s">
        <v>797</v>
      </c>
      <c r="C90" s="1227" t="s">
        <v>1117</v>
      </c>
      <c r="D90" s="1227" t="s">
        <v>1118</v>
      </c>
    </row>
    <row r="91" spans="1:4">
      <c r="B91" t="s">
        <v>1471</v>
      </c>
      <c r="C91" s="1227" t="s">
        <v>1119</v>
      </c>
      <c r="D91" s="1227" t="s">
        <v>1120</v>
      </c>
    </row>
    <row r="92" spans="1:4">
      <c r="B92" t="s">
        <v>1450</v>
      </c>
      <c r="C92" s="1227" t="s">
        <v>994</v>
      </c>
      <c r="D92" s="1227" t="s">
        <v>804</v>
      </c>
    </row>
    <row r="93" spans="1:4">
      <c r="A93" s="1228" t="s">
        <v>1121</v>
      </c>
      <c r="B93" s="1228"/>
      <c r="C93" s="1229" t="s">
        <v>1122</v>
      </c>
      <c r="D93" s="1229" t="s">
        <v>1123</v>
      </c>
    </row>
    <row r="94" spans="1:4">
      <c r="B94" t="s">
        <v>797</v>
      </c>
      <c r="C94" s="1227" t="s">
        <v>1132</v>
      </c>
      <c r="D94" s="1227" t="s">
        <v>1133</v>
      </c>
    </row>
    <row r="95" spans="1:4">
      <c r="B95" t="s">
        <v>1449</v>
      </c>
      <c r="C95" s="1227" t="s">
        <v>1134</v>
      </c>
      <c r="D95" s="1227" t="s">
        <v>1135</v>
      </c>
    </row>
    <row r="96" spans="1:4">
      <c r="B96" t="s">
        <v>1472</v>
      </c>
      <c r="C96" s="1227" t="s">
        <v>994</v>
      </c>
      <c r="D96" s="1227" t="s">
        <v>1136</v>
      </c>
    </row>
    <row r="97" spans="1:5">
      <c r="A97" s="1228" t="s">
        <v>1137</v>
      </c>
      <c r="B97" s="1228"/>
      <c r="C97" s="1229" t="s">
        <v>1138</v>
      </c>
      <c r="D97" s="1229" t="s">
        <v>1139</v>
      </c>
    </row>
    <row r="98" spans="1:5">
      <c r="A98" t="s">
        <v>1243</v>
      </c>
      <c r="B98" t="s">
        <v>797</v>
      </c>
      <c r="C98" s="1227" t="s">
        <v>1244</v>
      </c>
      <c r="D98" s="1227" t="s">
        <v>1245</v>
      </c>
    </row>
    <row r="99" spans="1:5" ht="13.15">
      <c r="A99" t="s">
        <v>1246</v>
      </c>
      <c r="B99" t="s">
        <v>1468</v>
      </c>
      <c r="C99" s="1227" t="s">
        <v>1247</v>
      </c>
      <c r="D99" s="1227" t="s">
        <v>1248</v>
      </c>
    </row>
    <row r="100" spans="1:5">
      <c r="B100" t="s">
        <v>1450</v>
      </c>
      <c r="C100" s="1227" t="s">
        <v>994</v>
      </c>
      <c r="D100" s="1227" t="s">
        <v>804</v>
      </c>
    </row>
    <row r="101" spans="1:5">
      <c r="A101" t="s">
        <v>1249</v>
      </c>
      <c r="B101" t="s">
        <v>1451</v>
      </c>
      <c r="C101" s="1227" t="s">
        <v>1250</v>
      </c>
      <c r="D101" s="1227" t="s">
        <v>1251</v>
      </c>
      <c r="E101" t="s">
        <v>1252</v>
      </c>
    </row>
    <row r="102" spans="1:5">
      <c r="A102" t="s">
        <v>1253</v>
      </c>
      <c r="B102" t="s">
        <v>1452</v>
      </c>
      <c r="C102" s="1227" t="s">
        <v>1254</v>
      </c>
      <c r="D102" s="1227" t="s">
        <v>1255</v>
      </c>
      <c r="E102" t="s">
        <v>1256</v>
      </c>
    </row>
    <row r="103" spans="1:5">
      <c r="A103" s="1228" t="s">
        <v>1257</v>
      </c>
      <c r="B103" s="1228"/>
      <c r="C103" s="1229" t="s">
        <v>1258</v>
      </c>
      <c r="D103" s="1229" t="s">
        <v>1259</v>
      </c>
    </row>
    <row r="104" spans="1:5">
      <c r="A104" t="s">
        <v>1243</v>
      </c>
      <c r="B104" t="s">
        <v>797</v>
      </c>
      <c r="C104" s="1227" t="s">
        <v>1260</v>
      </c>
      <c r="D104" s="1227" t="s">
        <v>1261</v>
      </c>
    </row>
    <row r="105" spans="1:5">
      <c r="A105" t="s">
        <v>1246</v>
      </c>
      <c r="B105" t="s">
        <v>1449</v>
      </c>
      <c r="C105" s="1227" t="s">
        <v>1262</v>
      </c>
      <c r="D105" s="1227" t="s">
        <v>1263</v>
      </c>
    </row>
    <row r="106" spans="1:5">
      <c r="B106" t="s">
        <v>1450</v>
      </c>
      <c r="C106" s="1227" t="s">
        <v>994</v>
      </c>
      <c r="D106" s="1227" t="s">
        <v>804</v>
      </c>
    </row>
    <row r="107" spans="1:5">
      <c r="A107" t="s">
        <v>1249</v>
      </c>
      <c r="B107" t="s">
        <v>1451</v>
      </c>
      <c r="C107" s="1227" t="s">
        <v>1264</v>
      </c>
      <c r="D107" s="1227" t="s">
        <v>1265</v>
      </c>
    </row>
    <row r="108" spans="1:5">
      <c r="A108" t="s">
        <v>1253</v>
      </c>
      <c r="B108" t="s">
        <v>1452</v>
      </c>
      <c r="C108" s="1227" t="s">
        <v>1266</v>
      </c>
      <c r="D108" s="1227" t="s">
        <v>1267</v>
      </c>
    </row>
    <row r="109" spans="1:5">
      <c r="A109" s="1228" t="s">
        <v>1268</v>
      </c>
      <c r="B109" s="1228"/>
      <c r="C109" s="1229" t="s">
        <v>1269</v>
      </c>
      <c r="D109" s="1229" t="s">
        <v>1270</v>
      </c>
    </row>
    <row r="110" spans="1:5">
      <c r="A110" t="s">
        <v>1243</v>
      </c>
      <c r="B110" t="s">
        <v>797</v>
      </c>
      <c r="C110" s="1227" t="s">
        <v>1271</v>
      </c>
      <c r="D110" s="1227" t="s">
        <v>1272</v>
      </c>
    </row>
    <row r="111" spans="1:5">
      <c r="A111" t="s">
        <v>1246</v>
      </c>
      <c r="B111" t="s">
        <v>1449</v>
      </c>
      <c r="C111" s="1227" t="s">
        <v>1273</v>
      </c>
      <c r="D111" s="1227" t="s">
        <v>1274</v>
      </c>
    </row>
    <row r="112" spans="1:5">
      <c r="B112" t="s">
        <v>1450</v>
      </c>
      <c r="C112" s="1227" t="s">
        <v>994</v>
      </c>
      <c r="D112" s="1227" t="s">
        <v>1136</v>
      </c>
    </row>
    <row r="113" spans="1:6">
      <c r="A113" t="s">
        <v>1249</v>
      </c>
      <c r="B113" t="s">
        <v>1451</v>
      </c>
      <c r="D113" s="1227" t="s">
        <v>1275</v>
      </c>
    </row>
    <row r="114" spans="1:6">
      <c r="A114" t="s">
        <v>1253</v>
      </c>
      <c r="B114" t="s">
        <v>1452</v>
      </c>
      <c r="D114" s="1227" t="s">
        <v>1276</v>
      </c>
    </row>
    <row r="115" spans="1:6">
      <c r="A115" s="1228" t="s">
        <v>1277</v>
      </c>
      <c r="B115" s="1228"/>
      <c r="C115" s="1228"/>
      <c r="D115" s="1229" t="s">
        <v>1278</v>
      </c>
    </row>
    <row r="116" spans="1:6">
      <c r="A116" t="s">
        <v>1243</v>
      </c>
      <c r="B116" t="s">
        <v>797</v>
      </c>
      <c r="C116" s="1227" t="s">
        <v>1279</v>
      </c>
      <c r="D116" s="1227" t="s">
        <v>1280</v>
      </c>
    </row>
    <row r="117" spans="1:6">
      <c r="A117" t="s">
        <v>1246</v>
      </c>
      <c r="B117" t="s">
        <v>1449</v>
      </c>
      <c r="C117" s="1227" t="s">
        <v>1281</v>
      </c>
      <c r="D117" s="1227" t="s">
        <v>1282</v>
      </c>
    </row>
    <row r="118" spans="1:6">
      <c r="B118" t="s">
        <v>1450</v>
      </c>
      <c r="C118" s="1227" t="s">
        <v>994</v>
      </c>
      <c r="D118" s="1227" t="s">
        <v>804</v>
      </c>
    </row>
    <row r="119" spans="1:6">
      <c r="A119" t="s">
        <v>1249</v>
      </c>
      <c r="B119" t="s">
        <v>1451</v>
      </c>
      <c r="D119" s="1227" t="s">
        <v>1283</v>
      </c>
    </row>
    <row r="120" spans="1:6">
      <c r="A120" t="s">
        <v>1253</v>
      </c>
      <c r="B120" t="s">
        <v>1452</v>
      </c>
      <c r="D120" s="1227" t="s">
        <v>1284</v>
      </c>
    </row>
    <row r="121" spans="1:6">
      <c r="A121" s="1228" t="s">
        <v>1285</v>
      </c>
      <c r="B121" s="1228"/>
      <c r="C121" s="1228"/>
      <c r="D121" s="1229" t="s">
        <v>1286</v>
      </c>
    </row>
    <row r="122" spans="1:6">
      <c r="A122" t="s">
        <v>1243</v>
      </c>
      <c r="B122" t="s">
        <v>797</v>
      </c>
      <c r="C122" s="1227" t="s">
        <v>1287</v>
      </c>
      <c r="D122" s="1227" t="s">
        <v>1288</v>
      </c>
    </row>
    <row r="123" spans="1:6">
      <c r="A123" t="s">
        <v>1246</v>
      </c>
      <c r="B123" t="s">
        <v>1449</v>
      </c>
      <c r="C123" s="1227" t="s">
        <v>1289</v>
      </c>
      <c r="D123" s="1227" t="s">
        <v>1290</v>
      </c>
    </row>
    <row r="124" spans="1:6">
      <c r="B124" t="s">
        <v>1450</v>
      </c>
      <c r="C124" s="1227" t="s">
        <v>994</v>
      </c>
      <c r="D124" s="1227" t="s">
        <v>804</v>
      </c>
      <c r="E124" t="s">
        <v>1242</v>
      </c>
    </row>
    <row r="125" spans="1:6">
      <c r="A125" t="s">
        <v>1249</v>
      </c>
      <c r="B125" t="s">
        <v>1451</v>
      </c>
      <c r="C125" s="1227" t="s">
        <v>1291</v>
      </c>
      <c r="D125" s="1227" t="s">
        <v>1292</v>
      </c>
      <c r="E125" t="s">
        <v>1252</v>
      </c>
    </row>
    <row r="126" spans="1:6">
      <c r="A126" t="s">
        <v>1253</v>
      </c>
      <c r="B126" t="s">
        <v>1452</v>
      </c>
      <c r="C126" s="1227" t="s">
        <v>1293</v>
      </c>
      <c r="D126" s="1227" t="s">
        <v>1294</v>
      </c>
      <c r="E126" t="s">
        <v>1256</v>
      </c>
    </row>
    <row r="127" spans="1:6">
      <c r="A127" s="1228" t="s">
        <v>1295</v>
      </c>
      <c r="B127" s="1228"/>
      <c r="C127" s="1229" t="s">
        <v>1296</v>
      </c>
      <c r="D127" s="1229" t="s">
        <v>1297</v>
      </c>
    </row>
    <row r="128" spans="1:6">
      <c r="A128" t="s">
        <v>1243</v>
      </c>
      <c r="B128" t="s">
        <v>797</v>
      </c>
      <c r="C128" s="1227" t="s">
        <v>1298</v>
      </c>
      <c r="D128" s="1227" t="s">
        <v>1299</v>
      </c>
      <c r="F128" s="31">
        <v>33636356</v>
      </c>
    </row>
    <row r="129" spans="1:6">
      <c r="A129" t="s">
        <v>1246</v>
      </c>
      <c r="B129" t="s">
        <v>1449</v>
      </c>
      <c r="C129" s="1227" t="s">
        <v>1300</v>
      </c>
      <c r="D129" s="1227" t="s">
        <v>1301</v>
      </c>
      <c r="F129" s="31">
        <v>83175344</v>
      </c>
    </row>
    <row r="130" spans="1:6">
      <c r="B130" t="s">
        <v>1450</v>
      </c>
      <c r="C130" s="1227" t="s">
        <v>994</v>
      </c>
      <c r="D130" s="1227" t="s">
        <v>1302</v>
      </c>
      <c r="E130" t="s">
        <v>1242</v>
      </c>
      <c r="F130" s="31">
        <v>30000000</v>
      </c>
    </row>
    <row r="131" spans="1:6">
      <c r="A131" t="s">
        <v>1249</v>
      </c>
      <c r="B131" t="s">
        <v>1451</v>
      </c>
      <c r="C131" s="1227" t="s">
        <v>1303</v>
      </c>
      <c r="D131" s="1227" t="s">
        <v>1304</v>
      </c>
      <c r="E131" t="s">
        <v>1252</v>
      </c>
      <c r="F131" s="31">
        <v>14580000</v>
      </c>
    </row>
    <row r="132" spans="1:6">
      <c r="A132" t="s">
        <v>1253</v>
      </c>
      <c r="B132" t="s">
        <v>1452</v>
      </c>
      <c r="C132" s="1227" t="s">
        <v>1305</v>
      </c>
      <c r="D132" s="1227" t="s">
        <v>1306</v>
      </c>
      <c r="E132" t="s">
        <v>1256</v>
      </c>
      <c r="F132" s="31">
        <v>2416660</v>
      </c>
    </row>
    <row r="133" spans="1:6">
      <c r="A133" s="1230" t="s">
        <v>1307</v>
      </c>
      <c r="B133" s="1230"/>
      <c r="C133" s="1231" t="s">
        <v>1308</v>
      </c>
      <c r="D133" s="1231" t="s">
        <v>1309</v>
      </c>
    </row>
    <row r="134" spans="1:6">
      <c r="A134" t="s">
        <v>1243</v>
      </c>
      <c r="B134" t="s">
        <v>797</v>
      </c>
      <c r="C134" s="1227" t="s">
        <v>1310</v>
      </c>
      <c r="D134" s="1227" t="s">
        <v>1311</v>
      </c>
    </row>
    <row r="135" spans="1:6">
      <c r="A135" t="s">
        <v>1246</v>
      </c>
      <c r="B135" t="s">
        <v>1449</v>
      </c>
      <c r="C135" s="1227" t="s">
        <v>1312</v>
      </c>
      <c r="D135" s="1227" t="s">
        <v>1313</v>
      </c>
    </row>
    <row r="136" spans="1:6">
      <c r="A136" t="s">
        <v>1314</v>
      </c>
      <c r="B136" t="s">
        <v>1450</v>
      </c>
      <c r="C136" s="1227" t="s">
        <v>994</v>
      </c>
      <c r="D136" s="1227" t="s">
        <v>804</v>
      </c>
      <c r="E136" t="s">
        <v>1242</v>
      </c>
    </row>
    <row r="137" spans="1:6">
      <c r="A137" t="s">
        <v>1249</v>
      </c>
      <c r="B137" t="s">
        <v>1451</v>
      </c>
      <c r="C137" s="1227" t="s">
        <v>1315</v>
      </c>
      <c r="D137" s="1227" t="s">
        <v>1316</v>
      </c>
      <c r="E137" t="s">
        <v>1252</v>
      </c>
    </row>
    <row r="138" spans="1:6">
      <c r="A138" t="s">
        <v>1253</v>
      </c>
      <c r="B138" t="s">
        <v>1452</v>
      </c>
      <c r="C138" s="1227" t="s">
        <v>1317</v>
      </c>
      <c r="D138" s="1227" t="s">
        <v>1306</v>
      </c>
      <c r="E138" t="s">
        <v>1256</v>
      </c>
    </row>
    <row r="139" spans="1:6">
      <c r="A139" s="1228" t="s">
        <v>1318</v>
      </c>
      <c r="B139" s="1228"/>
      <c r="C139" s="1229" t="s">
        <v>1319</v>
      </c>
      <c r="D139" s="1229" t="s">
        <v>1320</v>
      </c>
    </row>
    <row r="140" spans="1:6">
      <c r="A140" t="s">
        <v>1243</v>
      </c>
      <c r="B140" t="s">
        <v>797</v>
      </c>
      <c r="C140" s="1227" t="s">
        <v>1321</v>
      </c>
      <c r="D140" s="1227" t="s">
        <v>1322</v>
      </c>
    </row>
    <row r="141" spans="1:6">
      <c r="A141" t="s">
        <v>1246</v>
      </c>
      <c r="B141" t="s">
        <v>1449</v>
      </c>
      <c r="C141" s="1227" t="s">
        <v>1323</v>
      </c>
      <c r="D141" s="1227" t="s">
        <v>1324</v>
      </c>
    </row>
    <row r="142" spans="1:6">
      <c r="A142" t="s">
        <v>1314</v>
      </c>
      <c r="B142" t="s">
        <v>1450</v>
      </c>
      <c r="C142" s="1227" t="s">
        <v>994</v>
      </c>
      <c r="D142" s="1227" t="s">
        <v>804</v>
      </c>
      <c r="E142" t="s">
        <v>1242</v>
      </c>
    </row>
    <row r="143" spans="1:6">
      <c r="A143" t="s">
        <v>1249</v>
      </c>
      <c r="B143" t="s">
        <v>1451</v>
      </c>
      <c r="C143" s="1227" t="s">
        <v>1325</v>
      </c>
      <c r="D143" s="1227" t="s">
        <v>1326</v>
      </c>
      <c r="E143" t="s">
        <v>1252</v>
      </c>
    </row>
    <row r="144" spans="1:6">
      <c r="A144" t="s">
        <v>1253</v>
      </c>
      <c r="B144" t="s">
        <v>1452</v>
      </c>
      <c r="C144" s="1227" t="s">
        <v>1327</v>
      </c>
      <c r="D144" s="1227" t="s">
        <v>1328</v>
      </c>
      <c r="E144" t="s">
        <v>1256</v>
      </c>
    </row>
    <row r="145" spans="1:5">
      <c r="A145" s="1228" t="s">
        <v>1329</v>
      </c>
      <c r="B145" s="1228"/>
      <c r="C145" s="1229" t="s">
        <v>1330</v>
      </c>
      <c r="D145" s="1229" t="s">
        <v>1331</v>
      </c>
    </row>
    <row r="146" spans="1:5">
      <c r="A146" t="s">
        <v>1243</v>
      </c>
      <c r="B146" t="s">
        <v>797</v>
      </c>
      <c r="C146" s="1227" t="s">
        <v>1332</v>
      </c>
      <c r="D146" s="1227" t="s">
        <v>1333</v>
      </c>
    </row>
    <row r="147" spans="1:5">
      <c r="A147" t="s">
        <v>1246</v>
      </c>
      <c r="B147" t="s">
        <v>1449</v>
      </c>
      <c r="C147" s="1227" t="s">
        <v>1334</v>
      </c>
      <c r="D147" s="1227" t="s">
        <v>1335</v>
      </c>
    </row>
    <row r="148" spans="1:5">
      <c r="A148" t="s">
        <v>1314</v>
      </c>
      <c r="B148" t="s">
        <v>1450</v>
      </c>
      <c r="C148" s="1227" t="s">
        <v>994</v>
      </c>
      <c r="D148" s="1227" t="s">
        <v>1336</v>
      </c>
      <c r="E148" t="s">
        <v>1242</v>
      </c>
    </row>
    <row r="149" spans="1:5">
      <c r="A149" t="s">
        <v>1249</v>
      </c>
      <c r="B149" t="s">
        <v>1451</v>
      </c>
      <c r="C149" s="1227" t="s">
        <v>1337</v>
      </c>
      <c r="D149" s="1227" t="s">
        <v>1338</v>
      </c>
      <c r="E149" t="s">
        <v>1252</v>
      </c>
    </row>
    <row r="150" spans="1:5">
      <c r="A150" t="s">
        <v>1253</v>
      </c>
      <c r="B150" t="s">
        <v>1452</v>
      </c>
      <c r="C150" s="1227" t="s">
        <v>1339</v>
      </c>
      <c r="D150" s="1227" t="s">
        <v>1340</v>
      </c>
      <c r="E150" t="s">
        <v>1256</v>
      </c>
    </row>
    <row r="151" spans="1:5">
      <c r="A151" s="1228" t="s">
        <v>1341</v>
      </c>
      <c r="B151" s="1228"/>
      <c r="C151" s="1229" t="s">
        <v>1342</v>
      </c>
      <c r="D151" s="1229" t="s">
        <v>1343</v>
      </c>
    </row>
    <row r="152" spans="1:5">
      <c r="A152" t="s">
        <v>1243</v>
      </c>
      <c r="B152" t="s">
        <v>797</v>
      </c>
      <c r="C152" s="1227" t="s">
        <v>1344</v>
      </c>
      <c r="D152" s="1227" t="s">
        <v>1345</v>
      </c>
      <c r="E152" t="s">
        <v>1346</v>
      </c>
    </row>
    <row r="153" spans="1:5">
      <c r="A153" t="s">
        <v>1246</v>
      </c>
      <c r="B153" t="s">
        <v>1449</v>
      </c>
      <c r="C153" s="1227" t="s">
        <v>1347</v>
      </c>
      <c r="D153" s="1227" t="s">
        <v>1348</v>
      </c>
      <c r="E153" t="s">
        <v>1349</v>
      </c>
    </row>
    <row r="154" spans="1:5">
      <c r="A154" t="s">
        <v>1314</v>
      </c>
      <c r="B154" t="s">
        <v>1450</v>
      </c>
      <c r="C154" s="1227" t="s">
        <v>994</v>
      </c>
      <c r="D154" s="1227" t="s">
        <v>804</v>
      </c>
      <c r="E154" t="s">
        <v>1242</v>
      </c>
    </row>
    <row r="155" spans="1:5">
      <c r="A155" t="s">
        <v>1249</v>
      </c>
      <c r="B155" t="s">
        <v>1451</v>
      </c>
      <c r="C155" s="1227" t="s">
        <v>1350</v>
      </c>
      <c r="D155" s="1227" t="s">
        <v>1351</v>
      </c>
      <c r="E155" t="s">
        <v>1252</v>
      </c>
    </row>
    <row r="156" spans="1:5">
      <c r="A156" t="s">
        <v>1253</v>
      </c>
      <c r="B156" t="s">
        <v>1452</v>
      </c>
      <c r="C156" s="1227" t="s">
        <v>1352</v>
      </c>
      <c r="D156" s="1227" t="s">
        <v>1353</v>
      </c>
      <c r="E156" t="s">
        <v>1256</v>
      </c>
    </row>
    <row r="157" spans="1:5">
      <c r="A157" s="1228" t="s">
        <v>1354</v>
      </c>
      <c r="B157" s="1228"/>
      <c r="C157" s="1229" t="s">
        <v>1355</v>
      </c>
      <c r="D157" s="1229" t="s">
        <v>1356</v>
      </c>
    </row>
    <row r="158" spans="1:5">
      <c r="A158" t="s">
        <v>1243</v>
      </c>
      <c r="B158" t="s">
        <v>797</v>
      </c>
      <c r="C158" s="1227" t="s">
        <v>1357</v>
      </c>
      <c r="D158" s="1227" t="s">
        <v>1358</v>
      </c>
      <c r="E158" t="s">
        <v>1346</v>
      </c>
    </row>
    <row r="159" spans="1:5">
      <c r="A159" t="s">
        <v>1246</v>
      </c>
      <c r="B159" t="s">
        <v>1449</v>
      </c>
      <c r="C159" s="1227" t="s">
        <v>1359</v>
      </c>
      <c r="D159" s="1227" t="s">
        <v>1360</v>
      </c>
      <c r="E159" t="s">
        <v>1349</v>
      </c>
    </row>
    <row r="160" spans="1:5">
      <c r="A160" t="s">
        <v>1314</v>
      </c>
      <c r="B160" t="s">
        <v>1450</v>
      </c>
      <c r="C160" s="1227" t="s">
        <v>994</v>
      </c>
      <c r="D160" s="1227" t="s">
        <v>804</v>
      </c>
      <c r="E160" t="s">
        <v>1242</v>
      </c>
    </row>
    <row r="161" spans="1:5">
      <c r="A161" t="s">
        <v>1249</v>
      </c>
      <c r="B161" t="s">
        <v>1451</v>
      </c>
      <c r="C161" s="1227" t="s">
        <v>1361</v>
      </c>
      <c r="D161" s="1227" t="s">
        <v>1362</v>
      </c>
      <c r="E161" t="s">
        <v>1252</v>
      </c>
    </row>
    <row r="162" spans="1:5">
      <c r="A162" t="s">
        <v>1253</v>
      </c>
      <c r="B162" t="s">
        <v>1452</v>
      </c>
      <c r="C162" s="1227" t="s">
        <v>1363</v>
      </c>
      <c r="D162" s="1227" t="s">
        <v>1364</v>
      </c>
      <c r="E162" t="s">
        <v>1256</v>
      </c>
    </row>
    <row r="163" spans="1:5">
      <c r="A163" s="1228" t="s">
        <v>1365</v>
      </c>
      <c r="B163" s="1228"/>
      <c r="C163" s="1229" t="s">
        <v>1366</v>
      </c>
      <c r="D163" s="1229" t="s">
        <v>1367</v>
      </c>
    </row>
    <row r="164" spans="1:5">
      <c r="A164" t="s">
        <v>1243</v>
      </c>
      <c r="B164" t="s">
        <v>797</v>
      </c>
      <c r="C164" s="1227" t="s">
        <v>1368</v>
      </c>
      <c r="D164" s="1227" t="s">
        <v>1369</v>
      </c>
      <c r="E164" t="s">
        <v>1346</v>
      </c>
    </row>
    <row r="165" spans="1:5">
      <c r="A165" t="s">
        <v>1246</v>
      </c>
      <c r="B165" t="s">
        <v>1449</v>
      </c>
      <c r="C165" s="1227" t="s">
        <v>1370</v>
      </c>
      <c r="D165" s="1227" t="s">
        <v>1371</v>
      </c>
      <c r="E165" t="s">
        <v>1349</v>
      </c>
    </row>
    <row r="166" spans="1:5">
      <c r="A166" t="s">
        <v>1372</v>
      </c>
      <c r="B166" t="s">
        <v>1450</v>
      </c>
      <c r="C166" s="1227" t="s">
        <v>1373</v>
      </c>
      <c r="D166" s="1227" t="s">
        <v>1136</v>
      </c>
      <c r="E166" t="s">
        <v>1242</v>
      </c>
    </row>
    <row r="167" spans="1:5">
      <c r="A167" t="s">
        <v>1249</v>
      </c>
      <c r="B167" t="s">
        <v>1451</v>
      </c>
      <c r="C167" s="1227" t="s">
        <v>1374</v>
      </c>
      <c r="D167" s="1227" t="s">
        <v>1375</v>
      </c>
      <c r="E167" t="s">
        <v>1252</v>
      </c>
    </row>
    <row r="168" spans="1:5">
      <c r="A168" t="s">
        <v>1253</v>
      </c>
      <c r="B168" t="s">
        <v>1452</v>
      </c>
      <c r="C168" s="1227" t="s">
        <v>1376</v>
      </c>
      <c r="D168" s="1227" t="s">
        <v>1377</v>
      </c>
      <c r="E168" t="s">
        <v>1256</v>
      </c>
    </row>
    <row r="169" spans="1:5">
      <c r="A169" s="1228" t="s">
        <v>1378</v>
      </c>
      <c r="B169" s="1228"/>
      <c r="C169" s="1229" t="s">
        <v>1379</v>
      </c>
      <c r="D169" s="1229" t="s">
        <v>1380</v>
      </c>
    </row>
    <row r="170" spans="1:5">
      <c r="A170" t="s">
        <v>1243</v>
      </c>
      <c r="B170" t="s">
        <v>797</v>
      </c>
      <c r="C170" s="1227" t="s">
        <v>1381</v>
      </c>
      <c r="D170" s="1227" t="s">
        <v>1382</v>
      </c>
      <c r="E170" t="s">
        <v>1346</v>
      </c>
    </row>
    <row r="171" spans="1:5">
      <c r="A171" t="s">
        <v>1246</v>
      </c>
      <c r="B171" t="s">
        <v>1449</v>
      </c>
      <c r="C171" s="1227" t="s">
        <v>1383</v>
      </c>
      <c r="D171" s="1227" t="s">
        <v>1384</v>
      </c>
      <c r="E171" t="s">
        <v>1349</v>
      </c>
    </row>
    <row r="172" spans="1:5">
      <c r="A172" t="s">
        <v>1372</v>
      </c>
      <c r="B172" t="s">
        <v>1450</v>
      </c>
      <c r="C172" s="1227" t="s">
        <v>1373</v>
      </c>
      <c r="D172" s="1227" t="s">
        <v>804</v>
      </c>
      <c r="E172" t="s">
        <v>1242</v>
      </c>
    </row>
    <row r="173" spans="1:5">
      <c r="A173" t="s">
        <v>1249</v>
      </c>
      <c r="B173" t="s">
        <v>1451</v>
      </c>
      <c r="C173" s="1227" t="s">
        <v>1385</v>
      </c>
      <c r="D173" s="1227" t="s">
        <v>1386</v>
      </c>
      <c r="E173" t="s">
        <v>1252</v>
      </c>
    </row>
    <row r="174" spans="1:5">
      <c r="A174" t="s">
        <v>1253</v>
      </c>
      <c r="B174" t="s">
        <v>1452</v>
      </c>
      <c r="C174" s="1227" t="s">
        <v>1387</v>
      </c>
      <c r="D174" s="1227" t="s">
        <v>1388</v>
      </c>
      <c r="E174" t="s">
        <v>1256</v>
      </c>
    </row>
    <row r="175" spans="1:5">
      <c r="A175" s="1228" t="s">
        <v>1389</v>
      </c>
      <c r="B175" s="1228"/>
      <c r="C175" s="1229" t="s">
        <v>1390</v>
      </c>
      <c r="D175" s="1229" t="s">
        <v>1391</v>
      </c>
    </row>
    <row r="176" spans="1:5">
      <c r="A176" t="s">
        <v>1243</v>
      </c>
      <c r="B176" t="s">
        <v>797</v>
      </c>
      <c r="C176" s="1227" t="s">
        <v>1392</v>
      </c>
      <c r="D176" s="1227" t="s">
        <v>1393</v>
      </c>
      <c r="E176" t="s">
        <v>1346</v>
      </c>
    </row>
    <row r="177" spans="1:5">
      <c r="A177" t="s">
        <v>1246</v>
      </c>
      <c r="B177" t="s">
        <v>1449</v>
      </c>
      <c r="C177" s="1227" t="s">
        <v>1394</v>
      </c>
      <c r="D177" s="1227" t="s">
        <v>1395</v>
      </c>
      <c r="E177" t="s">
        <v>1349</v>
      </c>
    </row>
    <row r="178" spans="1:5">
      <c r="A178" t="s">
        <v>1372</v>
      </c>
      <c r="B178" t="s">
        <v>1450</v>
      </c>
      <c r="C178" s="1227" t="s">
        <v>1373</v>
      </c>
      <c r="D178" s="1227" t="s">
        <v>804</v>
      </c>
      <c r="E178" t="s">
        <v>1242</v>
      </c>
    </row>
    <row r="179" spans="1:5">
      <c r="A179" t="s">
        <v>1249</v>
      </c>
      <c r="B179" t="s">
        <v>1451</v>
      </c>
      <c r="C179" s="1227" t="s">
        <v>1396</v>
      </c>
      <c r="D179" s="1227" t="s">
        <v>1397</v>
      </c>
      <c r="E179" t="s">
        <v>1252</v>
      </c>
    </row>
    <row r="180" spans="1:5">
      <c r="A180" t="s">
        <v>1253</v>
      </c>
      <c r="B180" t="s">
        <v>1452</v>
      </c>
      <c r="C180" s="1227" t="s">
        <v>1398</v>
      </c>
      <c r="D180" s="1227" t="s">
        <v>1399</v>
      </c>
      <c r="E180" t="s">
        <v>1256</v>
      </c>
    </row>
    <row r="181" spans="1:5">
      <c r="A181" s="1228" t="s">
        <v>1400</v>
      </c>
      <c r="B181" s="1228"/>
      <c r="C181" s="1229" t="s">
        <v>1401</v>
      </c>
      <c r="D181" s="1229" t="s">
        <v>1402</v>
      </c>
    </row>
    <row r="182" spans="1:5">
      <c r="A182" t="s">
        <v>1243</v>
      </c>
      <c r="B182" t="s">
        <v>797</v>
      </c>
      <c r="C182" s="1227" t="s">
        <v>1403</v>
      </c>
      <c r="D182" s="1227" t="s">
        <v>1404</v>
      </c>
      <c r="E182" t="s">
        <v>1346</v>
      </c>
    </row>
    <row r="183" spans="1:5">
      <c r="A183" t="s">
        <v>1246</v>
      </c>
      <c r="B183" t="s">
        <v>1449</v>
      </c>
      <c r="C183" s="1227" t="s">
        <v>1405</v>
      </c>
      <c r="D183" s="1227" t="s">
        <v>1406</v>
      </c>
      <c r="E183" t="s">
        <v>1349</v>
      </c>
    </row>
    <row r="184" spans="1:5">
      <c r="A184" t="s">
        <v>1372</v>
      </c>
      <c r="B184" t="s">
        <v>1450</v>
      </c>
      <c r="C184" s="1227" t="s">
        <v>1407</v>
      </c>
      <c r="D184" s="1227" t="s">
        <v>1408</v>
      </c>
      <c r="E184" t="s">
        <v>1242</v>
      </c>
    </row>
    <row r="185" spans="1:5">
      <c r="A185" t="s">
        <v>1249</v>
      </c>
      <c r="B185" t="s">
        <v>1451</v>
      </c>
      <c r="C185" s="1227" t="s">
        <v>1409</v>
      </c>
      <c r="D185" s="1227" t="s">
        <v>1410</v>
      </c>
      <c r="E185" t="s">
        <v>1252</v>
      </c>
    </row>
    <row r="186" spans="1:5">
      <c r="A186" t="s">
        <v>1253</v>
      </c>
      <c r="B186" t="s">
        <v>1452</v>
      </c>
      <c r="C186" s="1227" t="s">
        <v>1411</v>
      </c>
      <c r="D186" s="1227" t="s">
        <v>1412</v>
      </c>
      <c r="E186" t="s">
        <v>1256</v>
      </c>
    </row>
    <row r="187" spans="1:5">
      <c r="A187" s="1228" t="s">
        <v>1413</v>
      </c>
      <c r="B187" s="1228"/>
      <c r="C187" s="1229" t="s">
        <v>1414</v>
      </c>
      <c r="D187" s="1229" t="s">
        <v>1415</v>
      </c>
    </row>
    <row r="188" spans="1:5">
      <c r="A188" t="s">
        <v>1243</v>
      </c>
      <c r="B188" t="s">
        <v>797</v>
      </c>
      <c r="C188" s="1227" t="s">
        <v>1416</v>
      </c>
      <c r="D188" s="1227" t="s">
        <v>1417</v>
      </c>
      <c r="E188" t="s">
        <v>1346</v>
      </c>
    </row>
    <row r="189" spans="1:5">
      <c r="A189" t="s">
        <v>1246</v>
      </c>
      <c r="B189" t="s">
        <v>1449</v>
      </c>
      <c r="C189" s="1227" t="s">
        <v>1418</v>
      </c>
      <c r="D189" s="1227" t="s">
        <v>1419</v>
      </c>
      <c r="E189" t="s">
        <v>1349</v>
      </c>
    </row>
    <row r="190" spans="1:5">
      <c r="A190" t="s">
        <v>1372</v>
      </c>
      <c r="B190" t="s">
        <v>1450</v>
      </c>
      <c r="C190" s="1227" t="s">
        <v>1407</v>
      </c>
      <c r="D190" s="1227" t="s">
        <v>804</v>
      </c>
      <c r="E190" t="s">
        <v>1242</v>
      </c>
    </row>
    <row r="191" spans="1:5">
      <c r="A191" t="s">
        <v>1249</v>
      </c>
      <c r="B191" t="s">
        <v>1451</v>
      </c>
      <c r="C191" s="1227" t="s">
        <v>1420</v>
      </c>
      <c r="D191" s="1227" t="s">
        <v>1421</v>
      </c>
      <c r="E191" t="s">
        <v>1252</v>
      </c>
    </row>
    <row r="192" spans="1:5">
      <c r="A192" t="s">
        <v>1253</v>
      </c>
      <c r="B192" t="s">
        <v>1452</v>
      </c>
      <c r="C192" s="1227" t="s">
        <v>1422</v>
      </c>
      <c r="D192" s="1227" t="s">
        <v>1423</v>
      </c>
      <c r="E192" t="s">
        <v>1256</v>
      </c>
    </row>
    <row r="193" spans="1:5">
      <c r="A193" s="1228" t="s">
        <v>1424</v>
      </c>
      <c r="B193" s="1228"/>
      <c r="C193" s="1229" t="s">
        <v>1425</v>
      </c>
      <c r="D193" s="1229" t="s">
        <v>1426</v>
      </c>
    </row>
    <row r="194" spans="1:5">
      <c r="A194" t="s">
        <v>1243</v>
      </c>
      <c r="B194" t="s">
        <v>797</v>
      </c>
      <c r="C194" s="1227" t="s">
        <v>1435</v>
      </c>
      <c r="D194" s="1227" t="s">
        <v>1436</v>
      </c>
      <c r="E194" t="s">
        <v>1346</v>
      </c>
    </row>
    <row r="195" spans="1:5">
      <c r="A195" t="s">
        <v>1246</v>
      </c>
      <c r="B195" t="s">
        <v>1449</v>
      </c>
      <c r="C195" s="1227" t="s">
        <v>1437</v>
      </c>
      <c r="D195" s="1227" t="s">
        <v>1438</v>
      </c>
      <c r="E195" t="s">
        <v>1349</v>
      </c>
    </row>
    <row r="196" spans="1:5">
      <c r="A196" t="s">
        <v>1372</v>
      </c>
      <c r="B196" t="s">
        <v>1450</v>
      </c>
      <c r="C196" s="1227" t="s">
        <v>1407</v>
      </c>
      <c r="D196" s="1227" t="s">
        <v>804</v>
      </c>
      <c r="E196" t="s">
        <v>1242</v>
      </c>
    </row>
    <row r="197" spans="1:5">
      <c r="A197" t="s">
        <v>1249</v>
      </c>
      <c r="B197" t="s">
        <v>1451</v>
      </c>
      <c r="C197" s="1227" t="s">
        <v>1250</v>
      </c>
      <c r="D197" s="1227" t="s">
        <v>1439</v>
      </c>
      <c r="E197" t="s">
        <v>1252</v>
      </c>
    </row>
    <row r="198" spans="1:5">
      <c r="A198" t="s">
        <v>1253</v>
      </c>
      <c r="B198" t="s">
        <v>1452</v>
      </c>
      <c r="C198" s="1227" t="s">
        <v>1440</v>
      </c>
      <c r="D198" s="1227" t="s">
        <v>1441</v>
      </c>
      <c r="E198" t="s">
        <v>1256</v>
      </c>
    </row>
    <row r="199" spans="1:5">
      <c r="A199" s="1228" t="s">
        <v>1453</v>
      </c>
      <c r="B199" s="1228"/>
      <c r="C199" s="1229" t="s">
        <v>1442</v>
      </c>
      <c r="D199" s="1229" t="s">
        <v>1443</v>
      </c>
    </row>
    <row r="200" spans="1:5">
      <c r="A200" t="s">
        <v>1243</v>
      </c>
      <c r="B200" t="s">
        <v>797</v>
      </c>
      <c r="C200" s="1227" t="s">
        <v>1454</v>
      </c>
      <c r="D200" s="1227" t="s">
        <v>1455</v>
      </c>
      <c r="E200" t="s">
        <v>1346</v>
      </c>
    </row>
    <row r="201" spans="1:5">
      <c r="A201" t="s">
        <v>1246</v>
      </c>
      <c r="B201" t="s">
        <v>1449</v>
      </c>
      <c r="C201" s="1227" t="s">
        <v>1456</v>
      </c>
      <c r="D201" s="1227" t="s">
        <v>1457</v>
      </c>
      <c r="E201" t="s">
        <v>1349</v>
      </c>
    </row>
    <row r="202" spans="1:5">
      <c r="A202" t="s">
        <v>1372</v>
      </c>
      <c r="B202" t="s">
        <v>1450</v>
      </c>
      <c r="C202" s="1227" t="s">
        <v>1458</v>
      </c>
      <c r="D202" s="1227" t="s">
        <v>1459</v>
      </c>
      <c r="E202" t="s">
        <v>1242</v>
      </c>
    </row>
    <row r="203" spans="1:5">
      <c r="A203" t="s">
        <v>1249</v>
      </c>
      <c r="B203" t="s">
        <v>1451</v>
      </c>
      <c r="C203" s="1227" t="s">
        <v>1460</v>
      </c>
      <c r="D203" s="1227" t="s">
        <v>1461</v>
      </c>
      <c r="E203" t="s">
        <v>1252</v>
      </c>
    </row>
    <row r="204" spans="1:5">
      <c r="A204" t="s">
        <v>1253</v>
      </c>
      <c r="B204" t="s">
        <v>1452</v>
      </c>
      <c r="C204" s="1227" t="s">
        <v>1462</v>
      </c>
      <c r="D204" s="1227" t="s">
        <v>1463</v>
      </c>
      <c r="E204" t="s">
        <v>1256</v>
      </c>
    </row>
    <row r="205" spans="1:5">
      <c r="A205" s="1230" t="s">
        <v>1464</v>
      </c>
      <c r="B205" s="1230"/>
      <c r="C205" s="1231" t="s">
        <v>1465</v>
      </c>
      <c r="D205" s="1231" t="s">
        <v>1466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topLeftCell="A4" zoomScale="77" zoomScaleNormal="77" workbookViewId="0">
      <pane xSplit="1" ySplit="1" topLeftCell="E5" activePane="bottomRight" state="frozen"/>
      <selection activeCell="A4" sqref="A4"/>
      <selection pane="topRight" activeCell="B4" sqref="B4"/>
      <selection pane="bottomLeft" activeCell="A5" sqref="A5"/>
      <selection pane="bottomRight" activeCell="F19" sqref="F19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7.265625" style="972" bestFit="1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48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08" customFormat="1" ht="13.9" thickBot="1">
      <c r="A4" s="2019" t="s">
        <v>659</v>
      </c>
      <c r="B4" s="2031">
        <v>2021</v>
      </c>
      <c r="C4" s="2003">
        <v>2022</v>
      </c>
      <c r="D4" s="2004">
        <v>2023</v>
      </c>
      <c r="E4" s="2002">
        <v>2024</v>
      </c>
      <c r="F4" s="2002">
        <v>2025</v>
      </c>
      <c r="G4" s="2002">
        <v>2026</v>
      </c>
      <c r="H4" s="2002">
        <v>2027</v>
      </c>
      <c r="I4" s="2002">
        <v>2028</v>
      </c>
      <c r="J4" s="2002">
        <v>2029</v>
      </c>
      <c r="K4" s="2002">
        <v>2030</v>
      </c>
      <c r="L4" s="2002">
        <v>2031</v>
      </c>
      <c r="M4" s="2002">
        <v>2032</v>
      </c>
      <c r="N4" s="2002">
        <v>2033</v>
      </c>
      <c r="O4" s="2002">
        <v>2034</v>
      </c>
      <c r="P4" s="2002">
        <v>2035</v>
      </c>
      <c r="Q4" s="2005">
        <v>2036</v>
      </c>
      <c r="R4" s="2002">
        <v>2037</v>
      </c>
      <c r="S4" s="2002">
        <v>2038</v>
      </c>
      <c r="T4" s="2006">
        <v>2040</v>
      </c>
      <c r="U4" s="2007">
        <v>2041</v>
      </c>
      <c r="V4" s="834"/>
    </row>
    <row r="5" spans="1:22" s="144" customFormat="1" ht="13.15">
      <c r="A5" s="831" t="s">
        <v>2530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2531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2532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1993" t="s">
        <v>2533</v>
      </c>
      <c r="B8" s="1989">
        <f>+'čerpání-úvěr a úroky'!K75</f>
        <v>185362</v>
      </c>
      <c r="C8" s="1991">
        <f>+'čerpání-úvěr a úroky'!K147</f>
        <v>844603</v>
      </c>
      <c r="D8" s="1990">
        <f>+'čerpání-úvěr a úroky'!K223</f>
        <v>1015095</v>
      </c>
      <c r="E8" s="1990">
        <f>+'čerpání-úvěr a úroky'!L284</f>
        <v>0</v>
      </c>
      <c r="F8" s="1990">
        <f>+E26*0.054</f>
        <v>748461.43799999997</v>
      </c>
      <c r="G8" s="1990">
        <f t="shared" ref="G8:U8" si="1">+F26*0.054</f>
        <v>711652.446</v>
      </c>
      <c r="H8" s="1990">
        <f t="shared" si="1"/>
        <v>674843.45400000003</v>
      </c>
      <c r="I8" s="1990">
        <f t="shared" si="1"/>
        <v>638034.46199999994</v>
      </c>
      <c r="J8" s="1990">
        <f t="shared" si="1"/>
        <v>601225.47</v>
      </c>
      <c r="K8" s="1990">
        <f t="shared" si="1"/>
        <v>564416.478</v>
      </c>
      <c r="L8" s="1990">
        <f t="shared" si="1"/>
        <v>527607.48600000003</v>
      </c>
      <c r="M8" s="1990">
        <f t="shared" si="1"/>
        <v>490798.49400000001</v>
      </c>
      <c r="N8" s="1990">
        <f t="shared" si="1"/>
        <v>453989.50199999998</v>
      </c>
      <c r="O8" s="1990">
        <f t="shared" si="1"/>
        <v>417180.51</v>
      </c>
      <c r="P8" s="1990">
        <f t="shared" si="1"/>
        <v>380371.51799999998</v>
      </c>
      <c r="Q8" s="1991">
        <f t="shared" si="1"/>
        <v>343562.52600000001</v>
      </c>
      <c r="R8" s="1990">
        <f t="shared" si="1"/>
        <v>306753.53399999999</v>
      </c>
      <c r="S8" s="1990">
        <f t="shared" si="1"/>
        <v>269944.54200000002</v>
      </c>
      <c r="T8" s="1992">
        <f t="shared" si="1"/>
        <v>269944.54200000002</v>
      </c>
      <c r="U8" s="1993">
        <f t="shared" si="1"/>
        <v>269944.54200000002</v>
      </c>
      <c r="V8" s="275"/>
    </row>
    <row r="9" spans="1:22" s="144" customFormat="1" ht="13.15">
      <c r="A9" s="1993" t="s">
        <v>2534</v>
      </c>
      <c r="B9" s="1989">
        <f>+'čerpání-úvěr a úroky'!K76</f>
        <v>31893</v>
      </c>
      <c r="C9" s="1991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37" t="s">
        <v>3016</v>
      </c>
      <c r="B10" s="1994"/>
      <c r="C10" s="1996"/>
      <c r="D10" s="1995">
        <f>+'čerpání-úvěr a úroky'!K222</f>
        <v>389641</v>
      </c>
      <c r="E10" s="1995">
        <f>+'čerpání-úvěr a úroky'!L283</f>
        <v>0</v>
      </c>
      <c r="F10" s="1995">
        <f>+F28*0.0489</f>
        <v>501418.54619999998</v>
      </c>
      <c r="G10" s="1995">
        <f t="shared" ref="G10:U10" si="2">+G28*0.0489</f>
        <v>467614.70970000001</v>
      </c>
      <c r="H10" s="1995">
        <f t="shared" si="2"/>
        <v>435385.30650000001</v>
      </c>
      <c r="I10" s="1995">
        <f t="shared" si="2"/>
        <v>403155.90330000001</v>
      </c>
      <c r="J10" s="1995">
        <f t="shared" si="2"/>
        <v>370926.5001</v>
      </c>
      <c r="K10" s="1995">
        <f t="shared" si="2"/>
        <v>338697.0969</v>
      </c>
      <c r="L10" s="1995">
        <f t="shared" si="2"/>
        <v>306467.6937</v>
      </c>
      <c r="M10" s="1995">
        <f t="shared" si="2"/>
        <v>274238.2905</v>
      </c>
      <c r="N10" s="1995">
        <f t="shared" si="2"/>
        <v>242008.8873</v>
      </c>
      <c r="O10" s="1995">
        <f t="shared" si="2"/>
        <v>209779.4841</v>
      </c>
      <c r="P10" s="1995">
        <f t="shared" si="2"/>
        <v>177550.0809</v>
      </c>
      <c r="Q10" s="1995">
        <f t="shared" si="2"/>
        <v>145320.6777</v>
      </c>
      <c r="R10" s="1995">
        <f t="shared" si="2"/>
        <v>113091.2745</v>
      </c>
      <c r="S10" s="1995">
        <f t="shared" si="2"/>
        <v>80861.871299999999</v>
      </c>
      <c r="T10" s="1995">
        <f t="shared" si="2"/>
        <v>48632.468099999998</v>
      </c>
      <c r="U10" s="2032">
        <f t="shared" si="2"/>
        <v>0</v>
      </c>
      <c r="V10" s="275"/>
    </row>
    <row r="11" spans="1:22" s="144" customFormat="1" ht="12" customHeight="1">
      <c r="A11" s="2001" t="s">
        <v>3018</v>
      </c>
      <c r="B11" s="2033"/>
      <c r="C11" s="1997"/>
      <c r="D11" s="160"/>
      <c r="E11" s="1998"/>
      <c r="F11" s="3057">
        <v>147902.18</v>
      </c>
      <c r="G11" s="3057">
        <f>+F11</f>
        <v>147902.18</v>
      </c>
      <c r="H11" s="3057">
        <f>+G11</f>
        <v>147902.18</v>
      </c>
      <c r="I11" s="3057">
        <f>+(90000000-I27)*0.0319/20</f>
        <v>143550</v>
      </c>
      <c r="J11" s="3057">
        <f t="shared" ref="J11:O11" si="3">+(90000000-J27)*0.0319/20</f>
        <v>143550</v>
      </c>
      <c r="K11" s="3057">
        <f t="shared" si="3"/>
        <v>143550</v>
      </c>
      <c r="L11" s="3057">
        <f t="shared" si="3"/>
        <v>143550</v>
      </c>
      <c r="M11" s="3057">
        <f t="shared" si="3"/>
        <v>143550</v>
      </c>
      <c r="N11" s="3057">
        <f t="shared" si="3"/>
        <v>143550</v>
      </c>
      <c r="O11" s="3057">
        <f t="shared" si="3"/>
        <v>143550</v>
      </c>
      <c r="P11" s="1998"/>
      <c r="Q11" s="1999"/>
      <c r="R11" s="1998"/>
      <c r="S11" s="1998"/>
      <c r="T11" s="2000"/>
      <c r="U11" s="2001"/>
      <c r="V11" s="275"/>
    </row>
    <row r="12" spans="1:22" s="1968" customFormat="1" ht="13.9" thickBot="1">
      <c r="A12" s="2038" t="s">
        <v>2406</v>
      </c>
      <c r="B12" s="1966">
        <f t="shared" ref="B12:U12" si="4">SUM(B5:B11)</f>
        <v>2068913.93</v>
      </c>
      <c r="C12" s="1967">
        <f t="shared" si="4"/>
        <v>3438367</v>
      </c>
      <c r="D12" s="1967">
        <f t="shared" si="4"/>
        <v>3078528</v>
      </c>
      <c r="E12" s="1967">
        <f t="shared" si="4"/>
        <v>1754818</v>
      </c>
      <c r="F12" s="1967">
        <f>SUM(F5:F11)</f>
        <v>2329692.8292999999</v>
      </c>
      <c r="G12" s="1967">
        <f t="shared" si="4"/>
        <v>2111399.6339000002</v>
      </c>
      <c r="H12" s="1967">
        <f t="shared" si="4"/>
        <v>1894680.8718000005</v>
      </c>
      <c r="I12" s="1967">
        <f t="shared" si="4"/>
        <v>1673609.9297000007</v>
      </c>
      <c r="J12" s="1967">
        <f t="shared" si="4"/>
        <v>1507155.5196000009</v>
      </c>
      <c r="K12" s="1967">
        <f t="shared" si="4"/>
        <v>1373379.1989</v>
      </c>
      <c r="L12" s="1967">
        <f t="shared" si="4"/>
        <v>1304340.8037</v>
      </c>
      <c r="M12" s="1967">
        <f t="shared" si="4"/>
        <v>1235302.4084999999</v>
      </c>
      <c r="N12" s="1967">
        <f t="shared" si="4"/>
        <v>1166264.0133</v>
      </c>
      <c r="O12" s="1967">
        <f t="shared" si="4"/>
        <v>1097225.6181000001</v>
      </c>
      <c r="P12" s="1967">
        <f t="shared" si="4"/>
        <v>884637.22289999994</v>
      </c>
      <c r="Q12" s="1967">
        <f t="shared" si="4"/>
        <v>815598.82770000002</v>
      </c>
      <c r="R12" s="1967">
        <f t="shared" si="4"/>
        <v>746560.43250000011</v>
      </c>
      <c r="S12" s="1967">
        <f t="shared" si="4"/>
        <v>677522.03729999997</v>
      </c>
      <c r="T12" s="1967">
        <f t="shared" si="4"/>
        <v>645292.63409999991</v>
      </c>
      <c r="U12" s="2034">
        <f t="shared" si="4"/>
        <v>596660.16599999997</v>
      </c>
      <c r="V12" s="275"/>
    </row>
    <row r="13" spans="1:22" s="1976" customFormat="1" ht="13.15">
      <c r="A13" s="1528" t="s">
        <v>2537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28"/>
      <c r="V13" s="864"/>
    </row>
    <row r="14" spans="1:22" s="1976" customFormat="1" ht="13.15">
      <c r="A14" s="1528" t="s">
        <v>2538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5">+D14</f>
        <v>5118492</v>
      </c>
      <c r="F14" s="365">
        <f t="shared" si="5"/>
        <v>5118492</v>
      </c>
      <c r="G14" s="365">
        <f t="shared" si="5"/>
        <v>5118492</v>
      </c>
      <c r="H14" s="365">
        <f t="shared" si="5"/>
        <v>5118492</v>
      </c>
      <c r="I14" s="365">
        <f t="shared" si="5"/>
        <v>5118492</v>
      </c>
      <c r="J14" s="365">
        <f t="shared" si="5"/>
        <v>5118492</v>
      </c>
      <c r="K14" s="365">
        <f t="shared" ref="K14:Q14" si="6">+J14</f>
        <v>5118492</v>
      </c>
      <c r="L14" s="365">
        <f t="shared" si="6"/>
        <v>5118492</v>
      </c>
      <c r="M14" s="365">
        <f t="shared" si="6"/>
        <v>5118492</v>
      </c>
      <c r="N14" s="365">
        <f t="shared" si="6"/>
        <v>5118492</v>
      </c>
      <c r="O14" s="365">
        <f t="shared" si="6"/>
        <v>5118492</v>
      </c>
      <c r="P14" s="365">
        <f t="shared" si="6"/>
        <v>5118492</v>
      </c>
      <c r="Q14" s="365">
        <f t="shared" si="6"/>
        <v>5118492</v>
      </c>
      <c r="R14" s="365"/>
      <c r="S14" s="365"/>
      <c r="T14" s="382"/>
      <c r="U14" s="1528"/>
      <c r="V14" s="864"/>
    </row>
    <row r="15" spans="1:22" s="1976" customFormat="1" ht="12" customHeight="1">
      <c r="A15" s="1978" t="s">
        <v>2539</v>
      </c>
      <c r="B15" s="2016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77"/>
      <c r="U15" s="1978"/>
      <c r="V15" s="864"/>
    </row>
    <row r="16" spans="1:22" s="1976" customFormat="1" ht="12" customHeight="1">
      <c r="A16" s="1975" t="s">
        <v>2540</v>
      </c>
      <c r="B16" s="1971">
        <f>+'čerpání-úvěr a úroky'!L75</f>
        <v>600000</v>
      </c>
      <c r="C16" s="1973">
        <f>+'čerpání-úvěr a úroky'!L147</f>
        <v>720000</v>
      </c>
      <c r="D16" s="1972">
        <f>+'čerpání-úvěr a úroky'!L223</f>
        <v>801255</v>
      </c>
      <c r="E16" s="1972">
        <v>681648</v>
      </c>
      <c r="F16" s="1972">
        <f>+E16</f>
        <v>681648</v>
      </c>
      <c r="G16" s="1972">
        <f t="shared" ref="G16:K16" si="7">+F16</f>
        <v>681648</v>
      </c>
      <c r="H16" s="1972">
        <f t="shared" si="7"/>
        <v>681648</v>
      </c>
      <c r="I16" s="1972">
        <f t="shared" si="7"/>
        <v>681648</v>
      </c>
      <c r="J16" s="1972">
        <f t="shared" si="7"/>
        <v>681648</v>
      </c>
      <c r="K16" s="1972">
        <f t="shared" si="7"/>
        <v>681648</v>
      </c>
      <c r="L16" s="1972">
        <f t="shared" ref="L16:R16" si="8">+K16</f>
        <v>681648</v>
      </c>
      <c r="M16" s="1972">
        <f t="shared" si="8"/>
        <v>681648</v>
      </c>
      <c r="N16" s="1972">
        <f t="shared" si="8"/>
        <v>681648</v>
      </c>
      <c r="O16" s="1972">
        <f>+N16</f>
        <v>681648</v>
      </c>
      <c r="P16" s="1972">
        <f t="shared" si="8"/>
        <v>681648</v>
      </c>
      <c r="Q16" s="1973">
        <f t="shared" si="8"/>
        <v>681648</v>
      </c>
      <c r="R16" s="1972">
        <f t="shared" si="8"/>
        <v>681648</v>
      </c>
      <c r="S16" s="1972"/>
      <c r="T16" s="1974"/>
      <c r="U16" s="1975"/>
      <c r="V16" s="864"/>
    </row>
    <row r="17" spans="1:22" s="1976" customFormat="1" ht="12" customHeight="1">
      <c r="A17" s="1975" t="s">
        <v>2541</v>
      </c>
      <c r="B17" s="1971">
        <f>+'čerpání-úvěr a úroky'!L76</f>
        <v>166680</v>
      </c>
      <c r="C17" s="1973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77"/>
      <c r="U17" s="1978"/>
      <c r="V17" s="864"/>
    </row>
    <row r="18" spans="1:22" s="1976" customFormat="1" ht="12" customHeight="1">
      <c r="A18" s="1983" t="s">
        <v>3017</v>
      </c>
      <c r="B18" s="1979"/>
      <c r="C18" s="1981"/>
      <c r="D18" s="1980">
        <v>52614429</v>
      </c>
      <c r="E18" s="1980">
        <v>38693807</v>
      </c>
      <c r="F18" s="1980">
        <f>416665+54924*5</f>
        <v>691285</v>
      </c>
      <c r="G18" s="1980">
        <v>659088</v>
      </c>
      <c r="H18" s="1980">
        <v>659088</v>
      </c>
      <c r="I18" s="1980">
        <v>659088</v>
      </c>
      <c r="J18" s="1980">
        <v>659088</v>
      </c>
      <c r="K18" s="1980">
        <v>659088</v>
      </c>
      <c r="L18" s="1980">
        <v>659088</v>
      </c>
      <c r="M18" s="1980">
        <v>659088</v>
      </c>
      <c r="N18" s="1980">
        <v>659088</v>
      </c>
      <c r="O18" s="1980">
        <v>659088</v>
      </c>
      <c r="P18" s="1980">
        <v>659088</v>
      </c>
      <c r="Q18" s="1981">
        <v>659088</v>
      </c>
      <c r="R18" s="1980">
        <v>659088</v>
      </c>
      <c r="S18" s="1980">
        <v>659088</v>
      </c>
      <c r="T18" s="1982">
        <f t="shared" ref="T18:U18" si="9">+T28*0.038</f>
        <v>37792.101999999999</v>
      </c>
      <c r="U18" s="1983">
        <f t="shared" si="9"/>
        <v>0</v>
      </c>
      <c r="V18" s="864"/>
    </row>
    <row r="19" spans="1:22" s="1976" customFormat="1" ht="12" customHeight="1">
      <c r="A19" s="1988" t="s">
        <v>3019</v>
      </c>
      <c r="B19" s="2035"/>
      <c r="C19" s="1984"/>
      <c r="D19" s="177"/>
      <c r="E19" s="1985"/>
      <c r="F19" s="1985">
        <v>0</v>
      </c>
      <c r="G19" s="1985"/>
      <c r="H19" s="1985"/>
      <c r="I19" s="1985"/>
      <c r="J19" s="1985"/>
      <c r="K19" s="1985"/>
      <c r="L19" s="1985"/>
      <c r="M19" s="1985"/>
      <c r="N19" s="1985"/>
      <c r="O19" s="1985"/>
      <c r="P19" s="1985"/>
      <c r="Q19" s="1986"/>
      <c r="R19" s="1985"/>
      <c r="S19" s="1985"/>
      <c r="T19" s="1987"/>
      <c r="U19" s="1988"/>
      <c r="V19" s="864"/>
    </row>
    <row r="20" spans="1:22" s="1968" customFormat="1" ht="13.9" thickBot="1">
      <c r="A20" s="2038" t="s">
        <v>2407</v>
      </c>
      <c r="B20" s="1966">
        <f t="shared" ref="B20:U20" si="10">SUM(B13:B19)</f>
        <v>18492384</v>
      </c>
      <c r="C20" s="1967">
        <f t="shared" si="10"/>
        <v>19178424</v>
      </c>
      <c r="D20" s="1967">
        <f t="shared" si="10"/>
        <v>70798337</v>
      </c>
      <c r="E20" s="1967">
        <f t="shared" si="10"/>
        <v>48576278</v>
      </c>
      <c r="F20" s="1967">
        <f t="shared" si="10"/>
        <v>8755585</v>
      </c>
      <c r="G20" s="1967">
        <f t="shared" si="10"/>
        <v>8723388</v>
      </c>
      <c r="H20" s="1967">
        <f t="shared" si="10"/>
        <v>8723388</v>
      </c>
      <c r="I20" s="1967">
        <f t="shared" si="10"/>
        <v>6459228</v>
      </c>
      <c r="J20" s="1967">
        <f t="shared" si="10"/>
        <v>6459228</v>
      </c>
      <c r="K20" s="1967">
        <f t="shared" si="10"/>
        <v>6459228</v>
      </c>
      <c r="L20" s="1967">
        <f t="shared" si="10"/>
        <v>6459228</v>
      </c>
      <c r="M20" s="1967">
        <f t="shared" si="10"/>
        <v>6459228</v>
      </c>
      <c r="N20" s="1967">
        <f t="shared" si="10"/>
        <v>6459228</v>
      </c>
      <c r="O20" s="1967">
        <f t="shared" si="10"/>
        <v>6459228</v>
      </c>
      <c r="P20" s="1967">
        <f t="shared" si="10"/>
        <v>6459228</v>
      </c>
      <c r="Q20" s="1967">
        <f t="shared" si="10"/>
        <v>6459228</v>
      </c>
      <c r="R20" s="1967">
        <f t="shared" si="10"/>
        <v>1340736</v>
      </c>
      <c r="S20" s="1967">
        <f t="shared" si="10"/>
        <v>659088</v>
      </c>
      <c r="T20" s="1967">
        <f t="shared" si="10"/>
        <v>37792.101999999999</v>
      </c>
      <c r="U20" s="2034">
        <f t="shared" si="10"/>
        <v>0</v>
      </c>
      <c r="V20" s="275"/>
    </row>
    <row r="21" spans="1:22" s="1968" customFormat="1" ht="13.9" thickBot="1">
      <c r="A21" s="2039" t="s">
        <v>2542</v>
      </c>
      <c r="B21" s="1969">
        <f t="shared" ref="B21:U21" si="11">+B20+B12</f>
        <v>20561297.93</v>
      </c>
      <c r="C21" s="1970">
        <f t="shared" si="11"/>
        <v>22616791</v>
      </c>
      <c r="D21" s="1970">
        <f t="shared" si="11"/>
        <v>73876865</v>
      </c>
      <c r="E21" s="1970">
        <f t="shared" si="11"/>
        <v>50331096</v>
      </c>
      <c r="F21" s="1970">
        <f t="shared" si="11"/>
        <v>11085277.829299999</v>
      </c>
      <c r="G21" s="1970">
        <f>+G20+G12</f>
        <v>10834787.6339</v>
      </c>
      <c r="H21" s="1970">
        <f t="shared" si="11"/>
        <v>10618068.8718</v>
      </c>
      <c r="I21" s="1970">
        <f t="shared" si="11"/>
        <v>8132837.9297000002</v>
      </c>
      <c r="J21" s="1970">
        <f t="shared" si="11"/>
        <v>7966383.5196000012</v>
      </c>
      <c r="K21" s="1970">
        <f t="shared" si="11"/>
        <v>7832607.1989000002</v>
      </c>
      <c r="L21" s="1970">
        <f t="shared" si="11"/>
        <v>7763568.8037</v>
      </c>
      <c r="M21" s="1970">
        <f t="shared" si="11"/>
        <v>7694530.4084999999</v>
      </c>
      <c r="N21" s="1970">
        <f t="shared" si="11"/>
        <v>7625492.0132999998</v>
      </c>
      <c r="O21" s="1970">
        <f t="shared" si="11"/>
        <v>7556453.6181000005</v>
      </c>
      <c r="P21" s="1970">
        <f t="shared" si="11"/>
        <v>7343865.2228999995</v>
      </c>
      <c r="Q21" s="1970">
        <f t="shared" si="11"/>
        <v>7274826.8277000003</v>
      </c>
      <c r="R21" s="1970">
        <f t="shared" si="11"/>
        <v>2087296.4325000001</v>
      </c>
      <c r="S21" s="1970">
        <f t="shared" si="11"/>
        <v>1336610.0373</v>
      </c>
      <c r="T21" s="1970">
        <f t="shared" si="11"/>
        <v>683084.73609999986</v>
      </c>
      <c r="U21" s="2036">
        <f t="shared" si="11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40" t="s">
        <v>2525</v>
      </c>
      <c r="B23" s="2014">
        <f>+'čerpání-úvěr a úroky'!F78</f>
        <v>21818173</v>
      </c>
      <c r="C23" s="2015">
        <f t="shared" ref="C23:D25" si="12">+B23-C13</f>
        <v>10909081</v>
      </c>
      <c r="D23" s="2015">
        <f t="shared" si="12"/>
        <v>909080</v>
      </c>
      <c r="E23" s="2015"/>
      <c r="F23" s="2015"/>
      <c r="G23" s="2015"/>
      <c r="H23" s="2015"/>
      <c r="I23" s="2015"/>
      <c r="J23" s="2015"/>
      <c r="K23" s="2015"/>
      <c r="L23" s="2015"/>
      <c r="M23" s="2015"/>
      <c r="N23" s="2015"/>
      <c r="O23" s="2015"/>
      <c r="P23" s="2015"/>
      <c r="Q23" s="2015"/>
      <c r="R23" s="2015"/>
      <c r="S23" s="2015"/>
      <c r="T23" s="2015"/>
      <c r="U23" s="2025"/>
      <c r="V23" s="2009"/>
    </row>
    <row r="24" spans="1:22" s="570" customFormat="1" ht="13.15">
      <c r="A24" s="2041" t="s">
        <v>2526</v>
      </c>
      <c r="B24" s="841">
        <f>+'čerpání-úvěr a úroky'!F79</f>
        <v>77630311</v>
      </c>
      <c r="C24" s="843">
        <f t="shared" si="12"/>
        <v>72511819</v>
      </c>
      <c r="D24" s="843">
        <f t="shared" si="12"/>
        <v>67393327</v>
      </c>
      <c r="E24" s="843">
        <f t="shared" ref="E24:U24" si="13">+D24-E14</f>
        <v>62274835</v>
      </c>
      <c r="F24" s="843">
        <f t="shared" si="13"/>
        <v>57156343</v>
      </c>
      <c r="G24" s="843">
        <f t="shared" si="13"/>
        <v>52037851</v>
      </c>
      <c r="H24" s="843">
        <f t="shared" si="13"/>
        <v>46919359</v>
      </c>
      <c r="I24" s="843">
        <f t="shared" si="13"/>
        <v>41800867</v>
      </c>
      <c r="J24" s="843">
        <f t="shared" si="13"/>
        <v>36682375</v>
      </c>
      <c r="K24" s="843">
        <f t="shared" si="13"/>
        <v>31563883</v>
      </c>
      <c r="L24" s="843">
        <f t="shared" si="13"/>
        <v>26445391</v>
      </c>
      <c r="M24" s="843">
        <f t="shared" si="13"/>
        <v>21326899</v>
      </c>
      <c r="N24" s="843">
        <f t="shared" si="13"/>
        <v>16208407</v>
      </c>
      <c r="O24" s="843">
        <f t="shared" si="13"/>
        <v>11089915</v>
      </c>
      <c r="P24" s="843">
        <f t="shared" si="13"/>
        <v>5971423</v>
      </c>
      <c r="Q24" s="843">
        <f t="shared" si="13"/>
        <v>852931</v>
      </c>
      <c r="R24" s="843">
        <f t="shared" si="13"/>
        <v>852931</v>
      </c>
      <c r="S24" s="843">
        <f t="shared" si="13"/>
        <v>852931</v>
      </c>
      <c r="T24" s="843">
        <f t="shared" si="13"/>
        <v>852931</v>
      </c>
      <c r="U24" s="1517">
        <f t="shared" si="13"/>
        <v>852931</v>
      </c>
      <c r="V24" s="2009"/>
    </row>
    <row r="25" spans="1:22" s="570" customFormat="1" ht="13.15">
      <c r="A25" s="2042" t="s">
        <v>2527</v>
      </c>
      <c r="B25" s="841">
        <f>+'čerpání-úvěr a úroky'!F80</f>
        <v>28301880</v>
      </c>
      <c r="C25" s="843">
        <f t="shared" si="12"/>
        <v>26037720</v>
      </c>
      <c r="D25" s="843">
        <f t="shared" si="12"/>
        <v>23773560</v>
      </c>
      <c r="E25" s="843">
        <f t="shared" ref="E25:U25" si="14">+D25-E15</f>
        <v>21509400</v>
      </c>
      <c r="F25" s="843">
        <f t="shared" si="14"/>
        <v>19245240</v>
      </c>
      <c r="G25" s="843">
        <f t="shared" si="14"/>
        <v>16981080</v>
      </c>
      <c r="H25" s="843">
        <f t="shared" si="14"/>
        <v>14716920</v>
      </c>
      <c r="I25" s="843">
        <f t="shared" si="14"/>
        <v>14716920</v>
      </c>
      <c r="J25" s="843">
        <f t="shared" si="14"/>
        <v>14716920</v>
      </c>
      <c r="K25" s="843">
        <f t="shared" si="14"/>
        <v>14716920</v>
      </c>
      <c r="L25" s="843">
        <f t="shared" si="14"/>
        <v>14716920</v>
      </c>
      <c r="M25" s="843">
        <f t="shared" si="14"/>
        <v>14716920</v>
      </c>
      <c r="N25" s="843">
        <f t="shared" si="14"/>
        <v>14716920</v>
      </c>
      <c r="O25" s="843">
        <f t="shared" si="14"/>
        <v>14716920</v>
      </c>
      <c r="P25" s="843">
        <f t="shared" si="14"/>
        <v>14716920</v>
      </c>
      <c r="Q25" s="843">
        <f t="shared" si="14"/>
        <v>14716920</v>
      </c>
      <c r="R25" s="843">
        <f t="shared" si="14"/>
        <v>14716920</v>
      </c>
      <c r="S25" s="843">
        <f t="shared" si="14"/>
        <v>14716920</v>
      </c>
      <c r="T25" s="843">
        <f t="shared" si="14"/>
        <v>14716920</v>
      </c>
      <c r="U25" s="1517">
        <f t="shared" si="14"/>
        <v>14716920</v>
      </c>
      <c r="V25" s="2009"/>
    </row>
    <row r="26" spans="1:22" s="570" customFormat="1" ht="13.15">
      <c r="A26" s="2043" t="s">
        <v>2528</v>
      </c>
      <c r="B26" s="2017">
        <f>+'čerpání-úvěr a úroky'!F81</f>
        <v>13920000</v>
      </c>
      <c r="C26" s="2018">
        <f>+B26-C16</f>
        <v>13200000</v>
      </c>
      <c r="D26" s="2018">
        <f>+'čerpání-úvěr a úroky'!F223</f>
        <v>14542045</v>
      </c>
      <c r="E26" s="2018">
        <f t="shared" ref="E26:U26" si="15">+D26-E16</f>
        <v>13860397</v>
      </c>
      <c r="F26" s="2018">
        <f>+E26-F16</f>
        <v>13178749</v>
      </c>
      <c r="G26" s="2018">
        <f t="shared" si="15"/>
        <v>12497101</v>
      </c>
      <c r="H26" s="2018">
        <f t="shared" si="15"/>
        <v>11815453</v>
      </c>
      <c r="I26" s="2018">
        <f t="shared" si="15"/>
        <v>11133805</v>
      </c>
      <c r="J26" s="2018">
        <f t="shared" si="15"/>
        <v>10452157</v>
      </c>
      <c r="K26" s="2018">
        <f t="shared" si="15"/>
        <v>9770509</v>
      </c>
      <c r="L26" s="2018">
        <f t="shared" si="15"/>
        <v>9088861</v>
      </c>
      <c r="M26" s="2018">
        <f t="shared" si="15"/>
        <v>8407213</v>
      </c>
      <c r="N26" s="2018">
        <f t="shared" si="15"/>
        <v>7725565</v>
      </c>
      <c r="O26" s="2018">
        <f t="shared" si="15"/>
        <v>7043917</v>
      </c>
      <c r="P26" s="2018">
        <f t="shared" si="15"/>
        <v>6362269</v>
      </c>
      <c r="Q26" s="2018">
        <f t="shared" si="15"/>
        <v>5680621</v>
      </c>
      <c r="R26" s="2018">
        <f t="shared" si="15"/>
        <v>4998973</v>
      </c>
      <c r="S26" s="2018">
        <f t="shared" si="15"/>
        <v>4998973</v>
      </c>
      <c r="T26" s="2018">
        <f t="shared" si="15"/>
        <v>4998973</v>
      </c>
      <c r="U26" s="2026">
        <f t="shared" si="15"/>
        <v>4998973</v>
      </c>
      <c r="V26" s="2009"/>
    </row>
    <row r="27" spans="1:22" s="570" customFormat="1" ht="13.15">
      <c r="A27" s="2043" t="s">
        <v>2529</v>
      </c>
      <c r="B27" s="2017">
        <f>+'čerpání-úvěr a úroky'!F82</f>
        <v>2236090</v>
      </c>
      <c r="C27" s="2018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17"/>
      <c r="V27" s="2009"/>
    </row>
    <row r="28" spans="1:22" s="570" customFormat="1" ht="12" customHeight="1">
      <c r="A28" s="2044" t="s">
        <v>3020</v>
      </c>
      <c r="B28" s="2027"/>
      <c r="C28" s="2023"/>
      <c r="D28" s="2023">
        <v>52614429</v>
      </c>
      <c r="E28" s="2023">
        <f>+'čerpání-úvěr a úroky'!F283</f>
        <v>13920622</v>
      </c>
      <c r="F28" s="2023">
        <f>+'přepočet úroků'!B37</f>
        <v>10253958</v>
      </c>
      <c r="G28" s="2023">
        <f>+F28-F18</f>
        <v>9562673</v>
      </c>
      <c r="H28" s="2023">
        <f>+G28-G18</f>
        <v>8903585</v>
      </c>
      <c r="I28" s="2023">
        <f t="shared" ref="I28:T28" si="16">+H28-H18</f>
        <v>8244497</v>
      </c>
      <c r="J28" s="2023">
        <f t="shared" si="16"/>
        <v>7585409</v>
      </c>
      <c r="K28" s="2023">
        <f t="shared" si="16"/>
        <v>6926321</v>
      </c>
      <c r="L28" s="2023">
        <f t="shared" si="16"/>
        <v>6267233</v>
      </c>
      <c r="M28" s="2023">
        <f t="shared" si="16"/>
        <v>5608145</v>
      </c>
      <c r="N28" s="2023">
        <f t="shared" si="16"/>
        <v>4949057</v>
      </c>
      <c r="O28" s="2023">
        <f t="shared" si="16"/>
        <v>4289969</v>
      </c>
      <c r="P28" s="2023">
        <f t="shared" si="16"/>
        <v>3630881</v>
      </c>
      <c r="Q28" s="2023">
        <f t="shared" si="16"/>
        <v>2971793</v>
      </c>
      <c r="R28" s="2023">
        <f t="shared" si="16"/>
        <v>2312705</v>
      </c>
      <c r="S28" s="2023">
        <f t="shared" si="16"/>
        <v>1653617</v>
      </c>
      <c r="T28" s="2023">
        <f t="shared" si="16"/>
        <v>994529</v>
      </c>
      <c r="U28" s="2023"/>
      <c r="V28" s="2009"/>
    </row>
    <row r="29" spans="1:22" s="570" customFormat="1" ht="12" customHeight="1">
      <c r="A29" s="2011" t="s">
        <v>3021</v>
      </c>
      <c r="B29" s="2028"/>
      <c r="C29" s="2010"/>
      <c r="D29" s="2010"/>
      <c r="E29" s="2024"/>
      <c r="F29" s="2024">
        <v>14440276.869999999</v>
      </c>
      <c r="G29" s="2024"/>
      <c r="H29" s="2024"/>
      <c r="I29" s="2024"/>
      <c r="J29" s="2024"/>
      <c r="K29" s="2024"/>
      <c r="L29" s="2024"/>
      <c r="M29" s="2024"/>
      <c r="N29" s="2024"/>
      <c r="O29" s="2024"/>
      <c r="P29" s="2024"/>
      <c r="Q29" s="2024"/>
      <c r="R29" s="2024"/>
      <c r="S29" s="2024"/>
      <c r="T29" s="2024"/>
      <c r="U29" s="2029"/>
      <c r="V29" s="2009"/>
    </row>
    <row r="30" spans="1:22" s="1968" customFormat="1" ht="13.9" thickBot="1">
      <c r="A30" s="2045" t="s">
        <v>773</v>
      </c>
      <c r="B30" s="2012">
        <f t="shared" ref="B30:U30" si="17">SUM(B23:B29)</f>
        <v>143906454</v>
      </c>
      <c r="C30" s="2013">
        <f t="shared" si="17"/>
        <v>124728030</v>
      </c>
      <c r="D30" s="2013">
        <f t="shared" si="17"/>
        <v>159232441</v>
      </c>
      <c r="E30" s="2013">
        <f t="shared" si="17"/>
        <v>111565254</v>
      </c>
      <c r="F30" s="2013">
        <f t="shared" si="17"/>
        <v>114274566.87</v>
      </c>
      <c r="G30" s="2013">
        <f t="shared" si="17"/>
        <v>91078705</v>
      </c>
      <c r="H30" s="2013">
        <f t="shared" si="17"/>
        <v>82355317</v>
      </c>
      <c r="I30" s="2013">
        <f t="shared" si="17"/>
        <v>75896089</v>
      </c>
      <c r="J30" s="2013">
        <f t="shared" si="17"/>
        <v>69436861</v>
      </c>
      <c r="K30" s="2013">
        <f t="shared" si="17"/>
        <v>62977633</v>
      </c>
      <c r="L30" s="2013">
        <f t="shared" si="17"/>
        <v>56518405</v>
      </c>
      <c r="M30" s="2013">
        <f t="shared" si="17"/>
        <v>50059177</v>
      </c>
      <c r="N30" s="2013">
        <f t="shared" si="17"/>
        <v>43599949</v>
      </c>
      <c r="O30" s="2013">
        <f t="shared" si="17"/>
        <v>37140721</v>
      </c>
      <c r="P30" s="2013">
        <f t="shared" si="17"/>
        <v>30681493</v>
      </c>
      <c r="Q30" s="2013">
        <f t="shared" si="17"/>
        <v>24222265</v>
      </c>
      <c r="R30" s="2013">
        <f t="shared" si="17"/>
        <v>22881529</v>
      </c>
      <c r="S30" s="2013">
        <f t="shared" si="17"/>
        <v>22222441</v>
      </c>
      <c r="T30" s="2013">
        <f t="shared" si="17"/>
        <v>21563353</v>
      </c>
      <c r="U30" s="2030">
        <f t="shared" si="17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46" t="s">
        <v>669</v>
      </c>
      <c r="B32" s="2022">
        <v>179926851</v>
      </c>
      <c r="C32" s="397">
        <f>+'[8]Souhrn příjmů a výdajů 2022'!$J$213</f>
        <v>212770795.75999999</v>
      </c>
      <c r="D32" s="397">
        <f>+'Souhrn příjmů a výdajů 2025'!D238</f>
        <v>224067554</v>
      </c>
      <c r="E32" s="397">
        <f>+'Souhrn příjmů a výdajů 2025'!L238</f>
        <v>255678336</v>
      </c>
      <c r="F32" s="397">
        <f t="shared" ref="F32:U32" si="18">+E32*1.005</f>
        <v>256956727.67999998</v>
      </c>
      <c r="G32" s="397">
        <f t="shared" si="18"/>
        <v>258241511.31839994</v>
      </c>
      <c r="H32" s="397">
        <f t="shared" si="18"/>
        <v>259532718.87499189</v>
      </c>
      <c r="I32" s="397">
        <f t="shared" si="18"/>
        <v>260830382.46936682</v>
      </c>
      <c r="J32" s="397">
        <f t="shared" si="18"/>
        <v>262134534.38171363</v>
      </c>
      <c r="K32" s="397">
        <f t="shared" si="18"/>
        <v>263445207.05362216</v>
      </c>
      <c r="L32" s="397">
        <f t="shared" si="18"/>
        <v>264762433.08889022</v>
      </c>
      <c r="M32" s="397">
        <f t="shared" si="18"/>
        <v>266086245.25433466</v>
      </c>
      <c r="N32" s="397">
        <f t="shared" si="18"/>
        <v>267416676.48060632</v>
      </c>
      <c r="O32" s="397">
        <f t="shared" si="18"/>
        <v>268753759.86300933</v>
      </c>
      <c r="P32" s="397">
        <f t="shared" si="18"/>
        <v>270097528.66232437</v>
      </c>
      <c r="Q32" s="397">
        <f t="shared" si="18"/>
        <v>271448016.30563599</v>
      </c>
      <c r="R32" s="397">
        <f t="shared" si="18"/>
        <v>272805256.38716412</v>
      </c>
      <c r="S32" s="397">
        <f t="shared" si="18"/>
        <v>274169282.66909993</v>
      </c>
      <c r="T32" s="397">
        <f t="shared" si="18"/>
        <v>275540129.08244538</v>
      </c>
      <c r="U32" s="1961">
        <f t="shared" si="18"/>
        <v>276917829.72785759</v>
      </c>
      <c r="V32" s="864"/>
    </row>
    <row r="33" spans="1:22" s="1965" customFormat="1" ht="13.9" thickBot="1">
      <c r="A33" s="2047" t="s">
        <v>670</v>
      </c>
      <c r="B33" s="1964">
        <f>+B21/B32</f>
        <v>0.11427587275453401</v>
      </c>
      <c r="C33" s="1962">
        <f t="shared" ref="C33:U33" si="19">+C21/C32</f>
        <v>0.10629650050992506</v>
      </c>
      <c r="D33" s="1962">
        <f t="shared" si="19"/>
        <v>0.32970799957944824</v>
      </c>
      <c r="E33" s="1962">
        <f t="shared" si="19"/>
        <v>0.19685318978296229</v>
      </c>
      <c r="F33" s="1962">
        <f t="shared" si="19"/>
        <v>4.3140640563826785E-2</v>
      </c>
      <c r="G33" s="1962">
        <f t="shared" si="19"/>
        <v>4.1956026273952542E-2</v>
      </c>
      <c r="H33" s="1962">
        <f t="shared" si="19"/>
        <v>4.0912255371217232E-2</v>
      </c>
      <c r="I33" s="1962">
        <f t="shared" si="19"/>
        <v>3.1180562067592565E-2</v>
      </c>
      <c r="J33" s="1962">
        <f t="shared" si="19"/>
        <v>3.0390438781330339E-2</v>
      </c>
      <c r="K33" s="1962">
        <f t="shared" si="19"/>
        <v>2.9731446954378394E-2</v>
      </c>
      <c r="L33" s="1962">
        <f t="shared" si="19"/>
        <v>2.9322773299539411E-2</v>
      </c>
      <c r="M33" s="1962">
        <f t="shared" si="19"/>
        <v>2.8917430140536934E-2</v>
      </c>
      <c r="N33" s="1962">
        <f t="shared" si="19"/>
        <v>2.8515394453543057E-2</v>
      </c>
      <c r="O33" s="1962">
        <f t="shared" si="19"/>
        <v>2.8116643361386716E-2</v>
      </c>
      <c r="P33" s="1962">
        <f t="shared" si="19"/>
        <v>2.7189679443832646E-2</v>
      </c>
      <c r="Q33" s="1962">
        <f t="shared" si="19"/>
        <v>2.680007364470453E-2</v>
      </c>
      <c r="R33" s="1962">
        <f t="shared" si="19"/>
        <v>7.6512324584307768E-3</v>
      </c>
      <c r="S33" s="1962">
        <f t="shared" si="19"/>
        <v>4.8751268715729176E-3</v>
      </c>
      <c r="T33" s="1962">
        <f t="shared" si="19"/>
        <v>2.4790753287903542E-3</v>
      </c>
      <c r="U33" s="1963">
        <f t="shared" si="19"/>
        <v>2.1546469816926227E-3</v>
      </c>
      <c r="V33" s="275"/>
    </row>
    <row r="34" spans="1:22" ht="13.5" hidden="1" thickBot="1">
      <c r="A34" s="1949" t="s">
        <v>671</v>
      </c>
      <c r="B34" s="1950">
        <f t="shared" ref="B34:Q34" si="20">B30/B32</f>
        <v>0.79980532755502953</v>
      </c>
      <c r="C34" s="1951">
        <f t="shared" si="20"/>
        <v>0.58620841057853645</v>
      </c>
      <c r="D34" s="1952">
        <f t="shared" si="20"/>
        <v>0.71064479509603606</v>
      </c>
      <c r="E34" s="1950">
        <f t="shared" si="20"/>
        <v>0.43635004727189713</v>
      </c>
      <c r="F34" s="1950">
        <f t="shared" si="20"/>
        <v>0.44472300025672562</v>
      </c>
      <c r="G34" s="1950">
        <f t="shared" si="20"/>
        <v>0.35268808850682465</v>
      </c>
      <c r="H34" s="1950">
        <f t="shared" si="20"/>
        <v>0.31732152060437419</v>
      </c>
      <c r="I34" s="1950">
        <f t="shared" si="20"/>
        <v>0.29097871299143457</v>
      </c>
      <c r="J34" s="1950">
        <f t="shared" si="20"/>
        <v>0.26489016856851</v>
      </c>
      <c r="K34" s="1950">
        <f t="shared" si="20"/>
        <v>0.23905400938716417</v>
      </c>
      <c r="L34" s="1950">
        <f t="shared" si="20"/>
        <v>0.21346836989152743</v>
      </c>
      <c r="M34" s="1950">
        <f t="shared" si="20"/>
        <v>0.18813139684147021</v>
      </c>
      <c r="N34" s="1950">
        <f t="shared" si="20"/>
        <v>0.16304124923623442</v>
      </c>
      <c r="O34" s="1950">
        <f t="shared" si="20"/>
        <v>0.1381960982385198</v>
      </c>
      <c r="P34" s="1950">
        <f t="shared" si="20"/>
        <v>0.1135941270990227</v>
      </c>
      <c r="Q34" s="1951">
        <f t="shared" si="20"/>
        <v>8.9233531081424525E-2</v>
      </c>
      <c r="R34" s="1953"/>
      <c r="S34" s="1953"/>
      <c r="T34" s="1953"/>
      <c r="U34" s="1953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1" customFormat="1" ht="13.9" thickBot="1">
      <c r="A36" s="2019" t="s">
        <v>2543</v>
      </c>
      <c r="B36" s="2020"/>
      <c r="C36" s="2020"/>
      <c r="D36" s="2020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46" t="s">
        <v>673</v>
      </c>
      <c r="B37" s="2022">
        <v>169590252</v>
      </c>
      <c r="C37" s="397">
        <v>174677959.56</v>
      </c>
      <c r="D37" s="397">
        <v>188513379</v>
      </c>
      <c r="E37" s="397">
        <f t="shared" ref="E37:Q37" si="21">+D37*1.02</f>
        <v>192283646.58000001</v>
      </c>
      <c r="F37" s="397">
        <f t="shared" si="21"/>
        <v>196129319.51160002</v>
      </c>
      <c r="G37" s="397">
        <f t="shared" si="21"/>
        <v>200051905.90183201</v>
      </c>
      <c r="H37" s="397">
        <f t="shared" si="21"/>
        <v>204052944.01986867</v>
      </c>
      <c r="I37" s="397">
        <f t="shared" si="21"/>
        <v>208134002.90026605</v>
      </c>
      <c r="J37" s="397">
        <f t="shared" si="21"/>
        <v>212296682.95827138</v>
      </c>
      <c r="K37" s="397">
        <f t="shared" si="21"/>
        <v>216542616.61743683</v>
      </c>
      <c r="L37" s="397">
        <f t="shared" si="21"/>
        <v>220873468.94978556</v>
      </c>
      <c r="M37" s="397">
        <f t="shared" si="21"/>
        <v>225290938.32878128</v>
      </c>
      <c r="N37" s="397">
        <f t="shared" si="21"/>
        <v>229796757.09535691</v>
      </c>
      <c r="O37" s="397">
        <f t="shared" si="21"/>
        <v>234392692.23726407</v>
      </c>
      <c r="P37" s="397">
        <f t="shared" si="21"/>
        <v>239080546.08200935</v>
      </c>
      <c r="Q37" s="397">
        <f t="shared" si="21"/>
        <v>243862157.00364953</v>
      </c>
      <c r="R37" s="397"/>
      <c r="S37" s="397"/>
      <c r="T37" s="397"/>
      <c r="U37" s="1961"/>
      <c r="V37" s="864"/>
    </row>
    <row r="38" spans="1:22" s="1965" customFormat="1" ht="13.9" thickBot="1">
      <c r="A38" s="2047" t="s">
        <v>671</v>
      </c>
      <c r="B38" s="1964">
        <f>+B30/B37</f>
        <v>0.8485538072082115</v>
      </c>
      <c r="C38" s="1962">
        <f>+C30/C37</f>
        <v>0.71404560892616376</v>
      </c>
      <c r="D38" s="1962">
        <f t="shared" ref="D38:Q38" si="22">+D30/D37</f>
        <v>0.84467448328959183</v>
      </c>
      <c r="E38" s="1962">
        <f t="shared" si="22"/>
        <v>0.58021186920637602</v>
      </c>
      <c r="F38" s="1962">
        <f t="shared" si="22"/>
        <v>0.58264907640818719</v>
      </c>
      <c r="G38" s="1962">
        <f t="shared" si="22"/>
        <v>0.45527536760731219</v>
      </c>
      <c r="H38" s="1962">
        <f t="shared" si="22"/>
        <v>0.40359778877770591</v>
      </c>
      <c r="I38" s="1962">
        <f t="shared" si="22"/>
        <v>0.36465011935780622</v>
      </c>
      <c r="J38" s="1962">
        <f t="shared" si="22"/>
        <v>0.32707463928510072</v>
      </c>
      <c r="K38" s="1962">
        <f t="shared" si="22"/>
        <v>0.29083251132621996</v>
      </c>
      <c r="L38" s="1962">
        <f t="shared" si="22"/>
        <v>0.25588589371432913</v>
      </c>
      <c r="M38" s="1962">
        <f t="shared" si="22"/>
        <v>0.22219791604287911</v>
      </c>
      <c r="N38" s="1962">
        <f t="shared" si="22"/>
        <v>0.18973265572197645</v>
      </c>
      <c r="O38" s="1962">
        <f t="shared" si="22"/>
        <v>0.15845511498457596</v>
      </c>
      <c r="P38" s="1962">
        <f t="shared" si="22"/>
        <v>0.12833119842998703</v>
      </c>
      <c r="Q38" s="1962">
        <f t="shared" si="22"/>
        <v>9.9327691092462131E-2</v>
      </c>
      <c r="R38" s="1962"/>
      <c r="S38" s="1962"/>
      <c r="T38" s="1962"/>
      <c r="U38" s="1963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>
      <c r="A43" s="1954" t="s">
        <v>676</v>
      </c>
      <c r="B43" s="1955" t="e">
        <f t="shared" ref="B43:Q43" si="23">+B44/B45</f>
        <v>#DIV/0!</v>
      </c>
      <c r="C43" s="1955" t="e">
        <f t="shared" si="23"/>
        <v>#REF!</v>
      </c>
      <c r="D43" s="1955" t="e">
        <f t="shared" si="23"/>
        <v>#DIV/0!</v>
      </c>
      <c r="E43" s="1955" t="e">
        <f t="shared" si="23"/>
        <v>#DIV/0!</v>
      </c>
      <c r="F43" s="1955" t="e">
        <f t="shared" si="23"/>
        <v>#DIV/0!</v>
      </c>
      <c r="G43" s="1955" t="e">
        <f t="shared" si="23"/>
        <v>#DIV/0!</v>
      </c>
      <c r="H43" s="1955" t="e">
        <f t="shared" si="23"/>
        <v>#REF!</v>
      </c>
      <c r="I43" s="1955" t="e">
        <f t="shared" si="23"/>
        <v>#DIV/0!</v>
      </c>
      <c r="J43" s="1955" t="e">
        <f t="shared" si="23"/>
        <v>#DIV/0!</v>
      </c>
      <c r="K43" s="1955" t="e">
        <f t="shared" si="23"/>
        <v>#DIV/0!</v>
      </c>
      <c r="L43" s="1955" t="e">
        <f t="shared" si="23"/>
        <v>#DIV/0!</v>
      </c>
      <c r="M43" s="1955" t="e">
        <f t="shared" si="23"/>
        <v>#REF!</v>
      </c>
      <c r="N43" s="1955" t="e">
        <f t="shared" si="23"/>
        <v>#DIV/0!</v>
      </c>
      <c r="O43" s="1955" t="e">
        <f t="shared" si="23"/>
        <v>#DIV/0!</v>
      </c>
      <c r="P43" s="1955" t="e">
        <f t="shared" si="23"/>
        <v>#DIV/0!</v>
      </c>
      <c r="Q43" s="1955" t="e">
        <f t="shared" si="23"/>
        <v>#DIV/0!</v>
      </c>
      <c r="R43" s="1956"/>
      <c r="S43" s="1956"/>
      <c r="T43" s="1956"/>
      <c r="U43" s="1956"/>
      <c r="V43" s="1956"/>
    </row>
    <row r="44" spans="1:22" ht="13.15" hidden="1">
      <c r="A44" s="1957" t="s">
        <v>682</v>
      </c>
      <c r="B44" s="1079"/>
      <c r="C44" s="1958">
        <v>37491467</v>
      </c>
      <c r="D44" s="1080"/>
      <c r="E44" s="1078"/>
      <c r="F44" s="1078"/>
      <c r="G44" s="1079"/>
      <c r="H44" s="1958"/>
      <c r="I44" s="1080"/>
      <c r="J44" s="1078"/>
      <c r="K44" s="1078"/>
      <c r="L44" s="1079"/>
      <c r="M44" s="1958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59" t="s">
        <v>677</v>
      </c>
      <c r="B45" s="1087"/>
      <c r="C45" s="1960" t="e">
        <f>+#REF!</f>
        <v>#REF!</v>
      </c>
      <c r="D45" s="1085"/>
      <c r="E45" s="1086"/>
      <c r="F45" s="1086"/>
      <c r="G45" s="1087"/>
      <c r="H45" s="1960" t="e">
        <f>+#REF!</f>
        <v>#REF!</v>
      </c>
      <c r="I45" s="1085"/>
      <c r="J45" s="1086"/>
      <c r="K45" s="1086"/>
      <c r="L45" s="1087"/>
      <c r="M45" s="1960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sheetProtection algorithmName="SHA-512" hashValue="zqzrjqNrKX6aBA+7pglZu4QcKzwfr1NRYfXMT0pVDB3FqozrDN9HC4GSbWKcqWYnAZuZ0wffLVap9yKM79DfRA==" saltValue="EQREsjsd7KXAWsjeteT1xw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155" t="s">
        <v>966</v>
      </c>
      <c r="D5" s="3156"/>
      <c r="E5" s="3156"/>
      <c r="F5" s="3156"/>
      <c r="G5" s="3156"/>
      <c r="H5" s="3156"/>
      <c r="I5" s="3156"/>
      <c r="J5" s="3156"/>
      <c r="K5" s="3156"/>
      <c r="L5" s="3156"/>
      <c r="M5" s="3156"/>
      <c r="N5" s="3156"/>
      <c r="O5" s="3156"/>
      <c r="P5" s="3156"/>
      <c r="Q5" s="3157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964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697</v>
      </c>
    </row>
    <row r="28" spans="2:17" ht="14.65" hidden="1">
      <c r="B28" s="630"/>
      <c r="C28" s="441" t="s">
        <v>569</v>
      </c>
    </row>
    <row r="29" spans="2:17" ht="14.65" hidden="1">
      <c r="B29" s="630"/>
      <c r="C29" s="441" t="s">
        <v>570</v>
      </c>
    </row>
    <row r="30" spans="2:17" hidden="1">
      <c r="C30" s="441" t="s">
        <v>571</v>
      </c>
    </row>
    <row r="31" spans="2:17" ht="14.65" hidden="1">
      <c r="B31" s="441" t="s">
        <v>965</v>
      </c>
    </row>
    <row r="32" spans="2:17" ht="14.6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7" workbookViewId="0">
      <selection activeCell="C28" sqref="C28"/>
    </sheetView>
  </sheetViews>
  <sheetFormatPr defaultColWidth="8.73046875" defaultRowHeight="11.65"/>
  <cols>
    <col min="1" max="1" width="34.265625" style="1697" bestFit="1" customWidth="1"/>
    <col min="2" max="2" width="10" style="1699" customWidth="1"/>
    <col min="3" max="3" width="9.86328125" style="1699" customWidth="1"/>
    <col min="4" max="4" width="5.59765625" style="1707" customWidth="1"/>
    <col min="5" max="5" width="6.73046875" style="1697" customWidth="1"/>
    <col min="6" max="6" width="7" style="1697" customWidth="1"/>
    <col min="7" max="8" width="6.59765625" style="1697" customWidth="1"/>
    <col min="9" max="9" width="6.86328125" style="1697" customWidth="1"/>
    <col min="10" max="10" width="7.265625" style="1697" customWidth="1"/>
    <col min="11" max="11" width="6.86328125" style="1697" bestFit="1" customWidth="1"/>
    <col min="12" max="12" width="6.73046875" style="1697" customWidth="1"/>
    <col min="13" max="13" width="6.86328125" style="1697" customWidth="1"/>
    <col min="14" max="14" width="6.59765625" style="1697" customWidth="1"/>
    <col min="15" max="15" width="6.73046875" style="1697" customWidth="1"/>
    <col min="16" max="16" width="6.265625" style="1697" bestFit="1" customWidth="1"/>
    <col min="17" max="17" width="9" style="1705" customWidth="1"/>
    <col min="18" max="18" width="8.73046875" style="1697"/>
    <col min="19" max="19" width="12.59765625" style="1697" bestFit="1" customWidth="1"/>
    <col min="20" max="21" width="8.73046875" style="1697"/>
    <col min="22" max="22" width="9.59765625" style="1697" customWidth="1"/>
    <col min="23" max="16384" width="8.73046875" style="1697"/>
  </cols>
  <sheetData>
    <row r="1" spans="1:22">
      <c r="Q1" s="1839">
        <v>2023</v>
      </c>
    </row>
    <row r="2" spans="1:22">
      <c r="B2" s="1704" t="s">
        <v>1970</v>
      </c>
      <c r="C2" s="1704" t="s">
        <v>1971</v>
      </c>
      <c r="D2" s="1708" t="s">
        <v>796</v>
      </c>
      <c r="E2" s="1704" t="s">
        <v>610</v>
      </c>
      <c r="F2" s="1704" t="s">
        <v>611</v>
      </c>
      <c r="G2" s="1704" t="s">
        <v>612</v>
      </c>
      <c r="H2" s="1704" t="s">
        <v>613</v>
      </c>
      <c r="I2" s="1704" t="s">
        <v>614</v>
      </c>
      <c r="J2" s="1704" t="s">
        <v>189</v>
      </c>
      <c r="K2" s="1704" t="s">
        <v>190</v>
      </c>
      <c r="L2" s="1704" t="s">
        <v>615</v>
      </c>
      <c r="M2" s="1704" t="s">
        <v>616</v>
      </c>
      <c r="N2" s="1704" t="s">
        <v>617</v>
      </c>
      <c r="O2" s="1704" t="s">
        <v>618</v>
      </c>
      <c r="P2" s="1704" t="s">
        <v>619</v>
      </c>
      <c r="Q2" s="1705" t="s">
        <v>777</v>
      </c>
      <c r="R2" s="1697" t="s">
        <v>1473</v>
      </c>
    </row>
    <row r="3" spans="1:22">
      <c r="B3" s="1704"/>
      <c r="C3" s="1704"/>
      <c r="E3" s="1846">
        <f>+E4/(B4-C4)</f>
        <v>7.3789900359159492E-3</v>
      </c>
      <c r="F3" s="1698"/>
      <c r="G3" s="1698"/>
      <c r="H3" s="1698"/>
      <c r="I3" s="1698"/>
      <c r="J3" s="1698"/>
      <c r="K3" s="1698"/>
      <c r="L3" s="1698"/>
      <c r="M3" s="1698"/>
      <c r="N3" s="1698"/>
      <c r="O3" s="1698"/>
      <c r="P3" s="1698"/>
    </row>
    <row r="4" spans="1:22">
      <c r="A4" s="1699" t="s">
        <v>1346</v>
      </c>
      <c r="B4" s="1699">
        <v>11818172</v>
      </c>
      <c r="C4" s="1699">
        <v>909091</v>
      </c>
      <c r="D4" s="1709">
        <v>7.51</v>
      </c>
      <c r="E4" s="1697">
        <v>80498</v>
      </c>
      <c r="F4" s="1697">
        <v>67115</v>
      </c>
      <c r="G4" s="1697">
        <v>68113</v>
      </c>
      <c r="H4" s="1697">
        <v>59924</v>
      </c>
      <c r="I4" s="1697">
        <v>55729</v>
      </c>
      <c r="J4" s="1697">
        <v>47878</v>
      </c>
      <c r="K4" s="1697">
        <v>43235</v>
      </c>
      <c r="L4" s="1697">
        <f>+(B4-C4-C4-C4-C4-C4-C4-C4)*(D4/1000)</f>
        <v>40963.557849999997</v>
      </c>
      <c r="M4" s="1697">
        <f>+(B4-C4-C4-C4-C4-C4-C4-C4-C4)*(D4/1000)</f>
        <v>34136.284440000003</v>
      </c>
      <c r="N4" s="1697">
        <f>+(B4-C4-C4-C4-C4-C4-C4-C4-C4-C4)*(D4/1000)</f>
        <v>27309.011030000001</v>
      </c>
      <c r="O4" s="1697">
        <f>+(B4-C4-C4-C4-C4-C4-C4-C4-C4-C4-C4)*(D4/1000)</f>
        <v>20481.73762</v>
      </c>
      <c r="P4" s="1697">
        <f>+(B4-C4-C4-C4-C4-C4-C4-C4-C4-C4-C4-C4)*(D4/1000)</f>
        <v>13654.46421</v>
      </c>
      <c r="Q4" s="1705">
        <f>SUM(E4:P4)</f>
        <v>559037.05515000003</v>
      </c>
      <c r="R4" s="1697">
        <f>+C4*12</f>
        <v>10909092</v>
      </c>
      <c r="S4" s="1711"/>
    </row>
    <row r="5" spans="1:22">
      <c r="A5" s="1699" t="s">
        <v>1349</v>
      </c>
      <c r="B5" s="1699">
        <v>72938360</v>
      </c>
      <c r="C5" s="1699">
        <v>426541</v>
      </c>
      <c r="D5" s="1709">
        <v>0.78</v>
      </c>
      <c r="E5" s="1697">
        <v>56527</v>
      </c>
      <c r="F5" s="1697">
        <v>50758</v>
      </c>
      <c r="G5" s="1697">
        <v>55866</v>
      </c>
      <c r="H5" s="1697">
        <v>53744</v>
      </c>
      <c r="I5" s="1697">
        <v>55204</v>
      </c>
      <c r="J5" s="1697">
        <v>53104</v>
      </c>
      <c r="K5" s="1697">
        <v>54543</v>
      </c>
      <c r="L5" s="1697">
        <f>+(B5-C5-C5-C5-C5-C5-C5-C5)*(D5/1000)</f>
        <v>54563.006939999999</v>
      </c>
      <c r="M5" s="1697">
        <f>+(B5-C5-C5-C5-C5-C5-C5-C5-C5)*(D5/1000)</f>
        <v>54230.304960000001</v>
      </c>
      <c r="N5" s="1697">
        <f>+(B5-C5-C5-C5-C5-C5-C5-C5-C5-C5)*(D5/1000)</f>
        <v>53897.602979999996</v>
      </c>
      <c r="O5" s="1697">
        <f>+(B5-C5-C5-C5-C5-C5-C5-C5-C5-C5-C5)*(D5/1000)</f>
        <v>53564.900999999998</v>
      </c>
      <c r="P5" s="1697">
        <f>+(B5-C5-C5-C5-C5-C5-C5-C5-C5-C5-C5-C5)*(D5/1000)</f>
        <v>53232.19902</v>
      </c>
      <c r="Q5" s="1705">
        <f t="shared" ref="Q5:Q10" si="0">SUM(E5:P5)</f>
        <v>649234.01489999983</v>
      </c>
      <c r="R5" s="1697">
        <f>+C5*12</f>
        <v>5118492</v>
      </c>
    </row>
    <row r="6" spans="1:22">
      <c r="A6" s="1699" t="s">
        <v>1242</v>
      </c>
      <c r="B6" s="1699">
        <v>26037720</v>
      </c>
      <c r="C6" s="1699">
        <v>566040</v>
      </c>
      <c r="D6" s="1709">
        <v>5.0919999999999996</v>
      </c>
      <c r="G6" s="1697">
        <v>126933</v>
      </c>
      <c r="J6" s="1697">
        <v>125554</v>
      </c>
      <c r="M6" s="1697">
        <f>+(B6-C6-C6-C6)*(D6/1000)</f>
        <v>123937.24319999998</v>
      </c>
      <c r="P6" s="1697">
        <f>+(B6-C6-C6-C6-C6)*(D6/1000)</f>
        <v>121054.96751999998</v>
      </c>
      <c r="Q6" s="1705">
        <f t="shared" si="0"/>
        <v>497479.21071999997</v>
      </c>
      <c r="R6" s="1697">
        <f>+C6*4</f>
        <v>2264160</v>
      </c>
    </row>
    <row r="7" spans="1:22">
      <c r="A7" s="1699" t="s">
        <v>1252</v>
      </c>
      <c r="B7" s="1699">
        <v>13260000</v>
      </c>
      <c r="C7" s="1699">
        <v>60000</v>
      </c>
      <c r="D7" s="1709">
        <v>6.56</v>
      </c>
      <c r="E7" s="1697">
        <v>86893</v>
      </c>
      <c r="F7" s="1697">
        <v>78129</v>
      </c>
      <c r="G7" s="1697">
        <v>86107</v>
      </c>
      <c r="H7" s="1697">
        <v>82949</v>
      </c>
      <c r="I7" s="1697">
        <v>85320</v>
      </c>
      <c r="J7" s="1697">
        <v>82080</v>
      </c>
      <c r="K7" s="1697">
        <v>84312</v>
      </c>
      <c r="Q7" s="1705">
        <f t="shared" si="0"/>
        <v>585790</v>
      </c>
      <c r="R7" s="1697">
        <f>+C7*7</f>
        <v>420000</v>
      </c>
      <c r="V7" s="1697">
        <f>+B7-S7</f>
        <v>13260000</v>
      </c>
    </row>
    <row r="8" spans="1:22">
      <c r="A8" s="1699" t="s">
        <v>1256</v>
      </c>
      <c r="B8" s="1699">
        <v>2083300</v>
      </c>
      <c r="C8" s="1699">
        <v>13890</v>
      </c>
      <c r="D8" s="1709">
        <v>6.56</v>
      </c>
      <c r="E8" s="1697">
        <v>13651</v>
      </c>
      <c r="F8" s="1697">
        <v>12248</v>
      </c>
      <c r="G8" s="1697">
        <v>13469</v>
      </c>
      <c r="H8" s="1697">
        <v>12947</v>
      </c>
      <c r="I8" s="1697">
        <v>13287</v>
      </c>
      <c r="J8" s="1697">
        <v>12755</v>
      </c>
      <c r="K8" s="1697">
        <v>13063</v>
      </c>
      <c r="Q8" s="1705">
        <f t="shared" si="0"/>
        <v>91420</v>
      </c>
      <c r="R8" s="1697">
        <f>+C8*7</f>
        <v>97230</v>
      </c>
      <c r="V8" s="1697">
        <f>+B8-S8</f>
        <v>2083300</v>
      </c>
    </row>
    <row r="9" spans="1:22" s="1701" customFormat="1">
      <c r="A9" s="1703" t="s">
        <v>2270</v>
      </c>
      <c r="B9" s="1703">
        <v>14826070</v>
      </c>
      <c r="C9" s="1703">
        <v>56805</v>
      </c>
      <c r="D9" s="1840">
        <v>4.8899999999999997</v>
      </c>
      <c r="L9" s="1701">
        <v>94556</v>
      </c>
      <c r="M9" s="1701">
        <v>60184</v>
      </c>
      <c r="N9" s="1701">
        <f>+($B$9-$C$9-C9-C9)*$D$9/1000</f>
        <v>71666.152949999989</v>
      </c>
      <c r="O9" s="1701">
        <f>+($B$9-$C$9-$C$9-$C$9-$C$9)*$D$9/1000</f>
        <v>71388.376499999998</v>
      </c>
      <c r="P9" s="1701">
        <f>+($B$9-$C$9-$C$9-$C$9-$C$9-C9)*$D$9/1000</f>
        <v>71110.600049999994</v>
      </c>
      <c r="Q9" s="1710">
        <f t="shared" si="0"/>
        <v>368905.12949999998</v>
      </c>
      <c r="R9" s="1701">
        <f>+C9*5</f>
        <v>284025</v>
      </c>
    </row>
    <row r="10" spans="1:22">
      <c r="A10" s="1699" t="s">
        <v>2271</v>
      </c>
      <c r="B10" s="1699">
        <v>100000000</v>
      </c>
      <c r="D10" s="1709">
        <v>4.8899999999999997</v>
      </c>
      <c r="L10" s="1697">
        <v>7202</v>
      </c>
      <c r="M10" s="1697">
        <v>43927</v>
      </c>
      <c r="N10" s="1697">
        <v>116531.09121</v>
      </c>
      <c r="O10" s="1697">
        <v>175700.08632</v>
      </c>
      <c r="P10" s="1697">
        <v>172000</v>
      </c>
      <c r="Q10" s="1705">
        <f t="shared" si="0"/>
        <v>515360.17752999999</v>
      </c>
    </row>
    <row r="11" spans="1:22">
      <c r="C11" s="1700">
        <f>+C4*12+C5*12+C6*4+C7*7+C8*7+C9*5</f>
        <v>19092999</v>
      </c>
      <c r="Q11" s="1706">
        <f>SUM(Q4:Q10)</f>
        <v>3267225.5877999994</v>
      </c>
    </row>
    <row r="12" spans="1:22" s="1701" customFormat="1">
      <c r="A12" s="1702" t="s">
        <v>1972</v>
      </c>
      <c r="B12" s="1702">
        <f>+C11+Q11</f>
        <v>22360224.5878</v>
      </c>
      <c r="D12" s="1707"/>
      <c r="Q12" s="1710"/>
    </row>
    <row r="13" spans="1:22">
      <c r="Q13" s="1839">
        <v>2024</v>
      </c>
    </row>
    <row r="14" spans="1:22">
      <c r="A14" s="1699" t="s">
        <v>1346</v>
      </c>
      <c r="B14" s="1699">
        <f>+B4-C4*12</f>
        <v>909080</v>
      </c>
      <c r="C14" s="1699">
        <v>909091</v>
      </c>
      <c r="D14" s="1709">
        <v>7.51</v>
      </c>
      <c r="E14" s="1697">
        <v>18255</v>
      </c>
      <c r="Q14" s="1705">
        <v>18255</v>
      </c>
    </row>
    <row r="15" spans="1:22">
      <c r="A15" s="1699" t="s">
        <v>1349</v>
      </c>
      <c r="B15" s="1699">
        <f>+B5-C5*12</f>
        <v>67819868</v>
      </c>
      <c r="C15" s="1699">
        <v>426541</v>
      </c>
      <c r="D15" s="1709">
        <v>0.78</v>
      </c>
      <c r="E15" s="1697">
        <v>52560</v>
      </c>
      <c r="F15" s="1697">
        <v>52560</v>
      </c>
      <c r="G15" s="1697">
        <v>48860</v>
      </c>
      <c r="H15" s="1697">
        <v>51899</v>
      </c>
      <c r="I15" s="1697">
        <v>51238</v>
      </c>
      <c r="J15" s="1697">
        <v>49265</v>
      </c>
      <c r="K15" s="1697">
        <v>50576</v>
      </c>
      <c r="L15" s="1697">
        <v>50246</v>
      </c>
      <c r="M15" s="1697">
        <v>48305</v>
      </c>
      <c r="N15" s="1697">
        <v>44605</v>
      </c>
      <c r="O15" s="1697">
        <v>40905</v>
      </c>
      <c r="P15" s="1697">
        <v>37205</v>
      </c>
      <c r="Q15" s="1705">
        <v>551818</v>
      </c>
      <c r="R15" s="1697">
        <f>+C15*12</f>
        <v>5118492</v>
      </c>
    </row>
    <row r="16" spans="1:22">
      <c r="A16" s="1699" t="s">
        <v>1242</v>
      </c>
      <c r="B16" s="1699">
        <f>+B6-C6*12</f>
        <v>19245240</v>
      </c>
      <c r="C16" s="1699">
        <v>566040</v>
      </c>
      <c r="D16" s="1709">
        <v>5.0919999999999996</v>
      </c>
      <c r="E16" s="1697">
        <v>0</v>
      </c>
      <c r="G16" s="1697">
        <v>0</v>
      </c>
      <c r="H16" s="1697">
        <v>114608</v>
      </c>
      <c r="I16" s="1697">
        <v>0</v>
      </c>
      <c r="J16" s="1697">
        <v>115650</v>
      </c>
      <c r="M16" s="1697">
        <v>112830</v>
      </c>
      <c r="P16" s="1697">
        <v>166911.86479999998</v>
      </c>
      <c r="Q16" s="1705">
        <v>510000</v>
      </c>
      <c r="R16" s="1697">
        <f>+C16*4</f>
        <v>2264160</v>
      </c>
    </row>
    <row r="17" spans="1:22">
      <c r="A17" s="1699" t="s">
        <v>2270</v>
      </c>
      <c r="B17" s="1699">
        <f>+B9-C9*4</f>
        <v>14598850</v>
      </c>
      <c r="C17" s="1699">
        <v>56805</v>
      </c>
      <c r="D17" s="1709">
        <v>4.8899999999999997</v>
      </c>
      <c r="E17" s="1697">
        <v>61234</v>
      </c>
      <c r="F17" s="1697">
        <v>61234</v>
      </c>
      <c r="G17" s="1697">
        <v>57059</v>
      </c>
      <c r="H17" s="1697">
        <v>58564</v>
      </c>
      <c r="I17" s="1697">
        <v>60277</v>
      </c>
      <c r="J17" s="1697">
        <v>58101</v>
      </c>
      <c r="K17" s="1697">
        <v>59799</v>
      </c>
      <c r="L17" s="1697">
        <v>50292</v>
      </c>
      <c r="M17" s="1697">
        <v>53951</v>
      </c>
      <c r="N17" s="1697">
        <v>53610.611999999994</v>
      </c>
      <c r="O17" s="1697">
        <v>53332.835549999989</v>
      </c>
      <c r="P17" s="1697">
        <v>65545.059099999999</v>
      </c>
      <c r="Q17" s="1705">
        <v>693000</v>
      </c>
      <c r="R17" s="1697">
        <f>+C17*12</f>
        <v>681660</v>
      </c>
    </row>
    <row r="18" spans="1:22">
      <c r="A18" s="1699" t="s">
        <v>2272</v>
      </c>
      <c r="B18" s="1699">
        <f>100000000-37000000</f>
        <v>63000000</v>
      </c>
      <c r="D18" s="1709">
        <v>4.8899999999999997</v>
      </c>
      <c r="E18" s="1697">
        <v>7581</v>
      </c>
      <c r="F18" s="1697">
        <v>7581</v>
      </c>
      <c r="G18" s="1697">
        <v>13037</v>
      </c>
      <c r="H18" s="1697">
        <v>43989</v>
      </c>
      <c r="I18" s="1697">
        <v>65266</v>
      </c>
      <c r="J18" s="1697">
        <v>33249</v>
      </c>
      <c r="K18" s="1697">
        <v>42996</v>
      </c>
      <c r="L18" s="1697">
        <v>59559</v>
      </c>
      <c r="M18" s="1697">
        <v>57406</v>
      </c>
      <c r="N18" s="1697">
        <v>68071.841579999993</v>
      </c>
      <c r="O18" s="1697">
        <v>68071.841579999993</v>
      </c>
      <c r="P18" s="1697">
        <v>68071.841579999993</v>
      </c>
      <c r="Q18" s="1705">
        <v>534879.52474000002</v>
      </c>
      <c r="V18" s="1697">
        <f>+B18-78000000</f>
        <v>-15000000</v>
      </c>
    </row>
    <row r="19" spans="1:22">
      <c r="C19" s="1700">
        <f>+C14*1+C15*12+C16*4+C17*12+C18*12</f>
        <v>8973403</v>
      </c>
      <c r="Q19" s="1706">
        <f>SUM(Q14:Q18)</f>
        <v>2307952.5247400003</v>
      </c>
      <c r="V19" s="1697">
        <f>+V18*0.0049</f>
        <v>-73500</v>
      </c>
    </row>
    <row r="20" spans="1:22" s="1701" customFormat="1">
      <c r="A20" s="1702" t="s">
        <v>1972</v>
      </c>
      <c r="B20" s="1702">
        <f>+C19+Q19</f>
        <v>11281355.524739999</v>
      </c>
      <c r="D20" s="1707"/>
      <c r="Q20" s="1710"/>
    </row>
    <row r="22" spans="1:22" ht="13.15">
      <c r="A22" s="3"/>
      <c r="B22" s="2"/>
      <c r="C22" s="2"/>
      <c r="D22" s="1939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0">
        <v>2025</v>
      </c>
    </row>
    <row r="23" spans="1:22" ht="13.15">
      <c r="A23" s="2" t="s">
        <v>1346</v>
      </c>
      <c r="B23" s="2"/>
      <c r="C23" s="2"/>
      <c r="D23" s="194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16">
        <f>SUM(E23:P23)</f>
        <v>0</v>
      </c>
    </row>
    <row r="24" spans="1:22" ht="13.15">
      <c r="A24" s="2" t="s">
        <v>1349</v>
      </c>
      <c r="B24" s="2">
        <f>+B15-C15*12</f>
        <v>62701376</v>
      </c>
      <c r="C24" s="2">
        <v>426541</v>
      </c>
      <c r="D24" s="1941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16">
        <f>+Q15-S24</f>
        <v>454401.98510000017</v>
      </c>
      <c r="R24" s="1697">
        <f>+C24*12</f>
        <v>5118492</v>
      </c>
      <c r="S24" s="1697">
        <f>+Q5-Q15</f>
        <v>97416.014899999835</v>
      </c>
    </row>
    <row r="25" spans="1:22" ht="13.15">
      <c r="A25" s="2" t="s">
        <v>1242</v>
      </c>
      <c r="B25" s="2">
        <f>+B16-C16*4</f>
        <v>16981080</v>
      </c>
      <c r="C25" s="2">
        <v>566040</v>
      </c>
      <c r="D25" s="1941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16">
        <f t="shared" ref="Q25:Q27" si="1">SUM(E25:P25)</f>
        <v>317047.88063999999</v>
      </c>
      <c r="R25" s="1697">
        <f>+C25*4</f>
        <v>2264160</v>
      </c>
    </row>
    <row r="26" spans="1:22" ht="13.15">
      <c r="A26" s="2" t="s">
        <v>2270</v>
      </c>
      <c r="B26" s="2">
        <f>+B17-C17*12</f>
        <v>13917190</v>
      </c>
      <c r="C26" s="2">
        <v>56805</v>
      </c>
      <c r="D26" s="1941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16">
        <f t="shared" si="1"/>
        <v>798327.46350000007</v>
      </c>
      <c r="R26" s="1697">
        <f>+C26*12</f>
        <v>681660</v>
      </c>
    </row>
    <row r="27" spans="1:22" ht="13.15">
      <c r="A27" s="2" t="s">
        <v>2271</v>
      </c>
      <c r="B27" s="2">
        <v>13920622</v>
      </c>
      <c r="C27" s="2">
        <v>458333</v>
      </c>
      <c r="D27" s="1941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16">
        <f t="shared" si="1"/>
        <v>657594.39960999996</v>
      </c>
    </row>
    <row r="28" spans="1:22" ht="13.15">
      <c r="A28" s="2" t="s">
        <v>2575</v>
      </c>
      <c r="B28" s="2">
        <v>90000000</v>
      </c>
      <c r="C28" s="2"/>
      <c r="D28" s="1941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16"/>
    </row>
    <row r="29" spans="1:22" ht="13.15">
      <c r="A29" s="2"/>
      <c r="B29" s="2"/>
      <c r="C29" s="1942">
        <f>+C22*1+C24*12+C25*4+C27*12+C26*12</f>
        <v>13564308</v>
      </c>
      <c r="D29" s="194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44">
        <f>SUM(Q23:Q26)</f>
        <v>1569777.3292400003</v>
      </c>
    </row>
    <row r="30" spans="1:22" s="1701" customFormat="1" ht="13.15">
      <c r="A30" s="1945" t="s">
        <v>1972</v>
      </c>
      <c r="B30" s="1945">
        <f>+C29+Q29</f>
        <v>15134085.32924</v>
      </c>
      <c r="C30" s="1714"/>
      <c r="D30" s="1943"/>
      <c r="E30" s="1714"/>
      <c r="F30" s="1714"/>
      <c r="G30" s="1714"/>
      <c r="H30" s="1714"/>
      <c r="I30" s="1714"/>
      <c r="J30" s="1714"/>
      <c r="K30" s="1714"/>
      <c r="L30" s="1714"/>
      <c r="M30" s="1714"/>
      <c r="N30" s="1714"/>
      <c r="O30" s="1714"/>
      <c r="P30" s="1714"/>
      <c r="Q30" s="1946"/>
    </row>
    <row r="31" spans="1:22" s="1701" customFormat="1" ht="13.15">
      <c r="A31" s="1753"/>
      <c r="B31" s="1753"/>
      <c r="C31" s="1945"/>
      <c r="D31" s="1943"/>
      <c r="E31" s="1714"/>
      <c r="F31" s="1714"/>
      <c r="G31" s="1714"/>
      <c r="H31" s="1714"/>
      <c r="I31" s="1714"/>
      <c r="J31" s="1714"/>
      <c r="K31" s="1714"/>
      <c r="L31" s="1714"/>
      <c r="M31" s="1714"/>
      <c r="N31" s="1714"/>
      <c r="O31" s="1714"/>
      <c r="P31" s="1714"/>
      <c r="Q31" s="1946"/>
    </row>
    <row r="32" spans="1:22" ht="13.15">
      <c r="A32" s="3"/>
      <c r="B32" s="2"/>
      <c r="C32" s="1942"/>
      <c r="D32" s="194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47">
        <v>2026</v>
      </c>
    </row>
    <row r="33" spans="1:18" ht="13.15">
      <c r="A33" s="2" t="s">
        <v>1346</v>
      </c>
      <c r="B33" s="2"/>
      <c r="C33" s="2"/>
      <c r="D33" s="1941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16">
        <f>SUM(E33:P33)</f>
        <v>0</v>
      </c>
    </row>
    <row r="34" spans="1:18" ht="13.15">
      <c r="A34" s="2" t="s">
        <v>1349</v>
      </c>
      <c r="B34" s="2">
        <f>+B24-C24*12</f>
        <v>57582884</v>
      </c>
      <c r="C34" s="2">
        <v>426541</v>
      </c>
      <c r="D34" s="1941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16">
        <f>+Q24-S24</f>
        <v>356985.97020000033</v>
      </c>
      <c r="R34" s="1697">
        <f>+C34*12</f>
        <v>5118492</v>
      </c>
    </row>
    <row r="35" spans="1:18" ht="13.15">
      <c r="A35" s="2" t="s">
        <v>1242</v>
      </c>
      <c r="B35" s="2">
        <f>+B25-C25*4</f>
        <v>14716920</v>
      </c>
      <c r="C35" s="2">
        <v>566040</v>
      </c>
      <c r="D35" s="1941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16">
        <f t="shared" ref="Q35:Q36" si="4">SUM(E35:P35)</f>
        <v>270931.46975999995</v>
      </c>
      <c r="R35" s="1697">
        <f>+C35*4</f>
        <v>2264160</v>
      </c>
    </row>
    <row r="36" spans="1:18" ht="13.15">
      <c r="A36" s="2" t="s">
        <v>2270</v>
      </c>
      <c r="B36" s="2">
        <f>+B26-C26*12</f>
        <v>13235530</v>
      </c>
      <c r="C36" s="2">
        <v>56805</v>
      </c>
      <c r="D36" s="1941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16">
        <f t="shared" si="4"/>
        <v>758327.65469999984</v>
      </c>
      <c r="R36" s="1697">
        <f>+C36*12</f>
        <v>681660</v>
      </c>
    </row>
    <row r="37" spans="1:18" ht="13.15">
      <c r="A37" s="2" t="s">
        <v>2271</v>
      </c>
      <c r="B37" s="2">
        <f>+B27-C27*8</f>
        <v>10253958</v>
      </c>
      <c r="C37" s="2">
        <v>458333</v>
      </c>
      <c r="D37" s="1941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16"/>
    </row>
    <row r="38" spans="1:18" ht="13.15">
      <c r="A38" s="2" t="s">
        <v>2575</v>
      </c>
      <c r="B38" s="2"/>
      <c r="C38" s="2"/>
      <c r="D38" s="1941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16"/>
    </row>
    <row r="39" spans="1:18" ht="13.15">
      <c r="A39" s="3"/>
      <c r="B39" s="2"/>
      <c r="C39" s="1942">
        <f>+C33*1+C34*12+C35*4+C36*12+C36*12+C37*12</f>
        <v>14245968</v>
      </c>
      <c r="D39" s="194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44">
        <f>SUM(Q33:Q36)</f>
        <v>1386245.0946600002</v>
      </c>
    </row>
    <row r="40" spans="1:18" s="1701" customFormat="1">
      <c r="A40" s="1702" t="s">
        <v>1972</v>
      </c>
      <c r="B40" s="1702">
        <f>+C39+Q39</f>
        <v>15632213.094660001</v>
      </c>
      <c r="D40" s="1707"/>
      <c r="Q40" s="1710"/>
    </row>
    <row r="69" ht="11.25" customHeight="1"/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721</v>
      </c>
    </row>
    <row r="2" spans="2:25">
      <c r="B2" s="438" t="s">
        <v>509</v>
      </c>
    </row>
    <row r="3" spans="2:25">
      <c r="B3" s="438" t="s">
        <v>783</v>
      </c>
    </row>
    <row r="4" spans="2:25" ht="13.5">
      <c r="B4" s="439" t="s">
        <v>364</v>
      </c>
    </row>
    <row r="5" spans="2:25" ht="13.5">
      <c r="K5" s="3304" t="s">
        <v>365</v>
      </c>
      <c r="L5" s="3304"/>
      <c r="M5" s="3304"/>
      <c r="N5" s="3304"/>
      <c r="O5" s="3304"/>
      <c r="W5" s="437" t="s">
        <v>366</v>
      </c>
    </row>
    <row r="6" spans="2:25" s="441" customFormat="1" ht="13.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>
      <c r="B10" s="451" t="s">
        <v>790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>
      <c r="B29" s="489" t="s">
        <v>784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>
      <c r="B34" s="858" t="s">
        <v>782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426</v>
      </c>
      <c r="F52" s="496"/>
    </row>
    <row r="53" spans="2:19" ht="13.9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 ht="13.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436</v>
      </c>
      <c r="F64" s="496"/>
    </row>
    <row r="65" spans="2:18" ht="13.9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791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441</v>
      </c>
      <c r="F78" s="496"/>
    </row>
    <row r="79" spans="2:18" ht="13.9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792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447</v>
      </c>
      <c r="D92" s="556" t="s">
        <v>448</v>
      </c>
      <c r="E92" s="556"/>
    </row>
    <row r="93" spans="2:18" ht="13.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538</v>
      </c>
      <c r="C103" s="496">
        <v>20000000</v>
      </c>
      <c r="D103" s="496">
        <v>20000000</v>
      </c>
      <c r="E103" s="496"/>
    </row>
    <row r="104" spans="2:5" ht="13.5">
      <c r="B104" s="437" t="s">
        <v>539</v>
      </c>
      <c r="C104" s="496">
        <v>20000000</v>
      </c>
      <c r="D104" s="496">
        <v>20000000</v>
      </c>
      <c r="E104" s="496"/>
    </row>
    <row r="106" spans="2:5" ht="13.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466</v>
      </c>
      <c r="C117" s="496">
        <v>77000000</v>
      </c>
      <c r="D117" s="496">
        <v>77000000</v>
      </c>
      <c r="E117" s="496"/>
    </row>
    <row r="118" spans="2:5" ht="13.5">
      <c r="B118" s="437" t="s">
        <v>467</v>
      </c>
      <c r="C118" s="496">
        <v>145000000</v>
      </c>
      <c r="D118" s="496">
        <v>145000000</v>
      </c>
      <c r="E118" s="496"/>
    </row>
    <row r="120" spans="2:5" ht="13.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540</v>
      </c>
    </row>
    <row r="129" spans="2:4" ht="13.5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854C3-B747-4F81-9B43-71F2ED5A22FA}">
  <dimension ref="A2:P358"/>
  <sheetViews>
    <sheetView workbookViewId="0">
      <pane xSplit="1" ySplit="4" topLeftCell="C346" activePane="bottomRight" state="frozen"/>
      <selection pane="topRight" activeCell="B1" sqref="B1"/>
      <selection pane="bottomLeft" activeCell="A5" sqref="A5"/>
      <selection pane="bottomRight" activeCell="F354" sqref="F354"/>
    </sheetView>
  </sheetViews>
  <sheetFormatPr defaultColWidth="9" defaultRowHeight="11.65" outlineLevelRow="1"/>
  <cols>
    <col min="1" max="1" width="12" style="1913" customWidth="1"/>
    <col min="2" max="2" width="18.59765625" style="1913" customWidth="1"/>
    <col min="3" max="3" width="14.73046875" style="1913" customWidth="1"/>
    <col min="4" max="4" width="14.265625" style="1913" customWidth="1"/>
    <col min="5" max="5" width="64.86328125" style="1913" bestFit="1" customWidth="1"/>
    <col min="6" max="6" width="13" style="1914" customWidth="1"/>
    <col min="7" max="7" width="11.73046875" style="1914" customWidth="1"/>
    <col min="8" max="8" width="12" style="1914" customWidth="1"/>
    <col min="9" max="9" width="8.73046875" style="1913" customWidth="1"/>
    <col min="10" max="10" width="13.265625" style="1931" bestFit="1" customWidth="1"/>
    <col min="11" max="11" width="13" style="1931" bestFit="1" customWidth="1"/>
    <col min="12" max="12" width="12.265625" style="1931" bestFit="1" customWidth="1"/>
    <col min="13" max="17" width="8.73046875" style="1913" customWidth="1"/>
    <col min="18" max="16384" width="9" style="1913"/>
  </cols>
  <sheetData>
    <row r="2" spans="1:8">
      <c r="B2" s="712" t="s">
        <v>793</v>
      </c>
      <c r="C2" s="712"/>
    </row>
    <row r="4" spans="1:8">
      <c r="A4" s="1915" t="s">
        <v>794</v>
      </c>
      <c r="B4" s="1915" t="s">
        <v>795</v>
      </c>
      <c r="C4" s="1916" t="s">
        <v>493</v>
      </c>
      <c r="D4" s="1915" t="s">
        <v>796</v>
      </c>
      <c r="F4" s="1916" t="s">
        <v>493</v>
      </c>
      <c r="G4" s="1915" t="s">
        <v>796</v>
      </c>
      <c r="H4" s="3056" t="s">
        <v>1473</v>
      </c>
    </row>
    <row r="5" spans="1:8" outlineLevel="1">
      <c r="C5" s="1917"/>
      <c r="F5" s="1918">
        <v>163848360</v>
      </c>
      <c r="G5" s="1918"/>
      <c r="H5" s="1918"/>
    </row>
    <row r="6" spans="1:8" outlineLevel="1">
      <c r="A6" s="1913" t="s">
        <v>1243</v>
      </c>
      <c r="B6" s="1913" t="s">
        <v>797</v>
      </c>
      <c r="C6" s="1919" t="s">
        <v>1310</v>
      </c>
      <c r="D6" s="1919" t="s">
        <v>1311</v>
      </c>
      <c r="F6" s="1914">
        <v>32727265</v>
      </c>
      <c r="G6" s="1914">
        <v>59882</v>
      </c>
      <c r="H6" s="1914">
        <v>909091</v>
      </c>
    </row>
    <row r="7" spans="1:8" outlineLevel="1">
      <c r="A7" s="1913" t="s">
        <v>1246</v>
      </c>
      <c r="B7" s="1913" t="s">
        <v>1449</v>
      </c>
      <c r="C7" s="1919" t="s">
        <v>1312</v>
      </c>
      <c r="D7" s="1919" t="s">
        <v>1313</v>
      </c>
      <c r="F7" s="1914">
        <v>82748803</v>
      </c>
      <c r="G7" s="1914">
        <v>64460</v>
      </c>
      <c r="H7" s="1914">
        <v>426541</v>
      </c>
    </row>
    <row r="8" spans="1:8" outlineLevel="1">
      <c r="A8" s="1913" t="s">
        <v>1314</v>
      </c>
      <c r="B8" s="1913" t="s">
        <v>1450</v>
      </c>
      <c r="C8" s="1919" t="s">
        <v>994</v>
      </c>
      <c r="D8" s="1919" t="s">
        <v>804</v>
      </c>
      <c r="E8" s="1913" t="s">
        <v>1242</v>
      </c>
      <c r="F8" s="1914">
        <v>30000000</v>
      </c>
      <c r="G8" s="1914">
        <v>0</v>
      </c>
      <c r="H8" s="1914">
        <v>0</v>
      </c>
    </row>
    <row r="9" spans="1:8" outlineLevel="1">
      <c r="A9" s="1913" t="s">
        <v>1249</v>
      </c>
      <c r="B9" s="1913" t="s">
        <v>1451</v>
      </c>
      <c r="C9" s="1919" t="s">
        <v>1315</v>
      </c>
      <c r="D9" s="1919" t="s">
        <v>1316</v>
      </c>
      <c r="E9" s="1913" t="s">
        <v>1252</v>
      </c>
      <c r="F9" s="1914">
        <v>14530000</v>
      </c>
      <c r="G9" s="1914">
        <v>10044</v>
      </c>
      <c r="H9" s="1914">
        <v>50000</v>
      </c>
    </row>
    <row r="10" spans="1:8" outlineLevel="1">
      <c r="A10" s="1913" t="s">
        <v>1253</v>
      </c>
      <c r="B10" s="1913" t="s">
        <v>1452</v>
      </c>
      <c r="C10" s="1919" t="s">
        <v>1317</v>
      </c>
      <c r="D10" s="1919" t="s">
        <v>1306</v>
      </c>
      <c r="E10" s="1913" t="s">
        <v>1256</v>
      </c>
      <c r="F10" s="1914">
        <v>2402770</v>
      </c>
      <c r="G10" s="1914">
        <v>1674</v>
      </c>
      <c r="H10" s="1914">
        <v>13890</v>
      </c>
    </row>
    <row r="11" spans="1:8" outlineLevel="1">
      <c r="A11" s="1920" t="s">
        <v>1318</v>
      </c>
      <c r="B11" s="1920"/>
      <c r="C11" s="1921" t="s">
        <v>1319</v>
      </c>
      <c r="D11" s="1921" t="s">
        <v>1320</v>
      </c>
      <c r="F11" s="1918">
        <f>SUM(F6:F10)</f>
        <v>162408838</v>
      </c>
      <c r="G11" s="1918">
        <f>SUM(G6:G10)</f>
        <v>136060</v>
      </c>
      <c r="H11" s="1918">
        <f>SUM(H6:H10)</f>
        <v>1399522</v>
      </c>
    </row>
    <row r="12" spans="1:8" outlineLevel="1">
      <c r="A12" s="1913" t="s">
        <v>1243</v>
      </c>
      <c r="B12" s="1913" t="s">
        <v>797</v>
      </c>
      <c r="C12" s="1919" t="s">
        <v>1321</v>
      </c>
      <c r="D12" s="1919" t="s">
        <v>1322</v>
      </c>
      <c r="F12" s="1914">
        <v>31818174</v>
      </c>
      <c r="G12" s="1914">
        <v>56254</v>
      </c>
      <c r="H12" s="1914">
        <f t="shared" ref="H12:H75" si="0">+F6-F12</f>
        <v>909091</v>
      </c>
    </row>
    <row r="13" spans="1:8" outlineLevel="1">
      <c r="A13" s="1913" t="s">
        <v>1246</v>
      </c>
      <c r="B13" s="1913" t="s">
        <v>1449</v>
      </c>
      <c r="C13" s="1919" t="s">
        <v>1323</v>
      </c>
      <c r="D13" s="1919" t="s">
        <v>1324</v>
      </c>
      <c r="F13" s="1914">
        <v>82322262</v>
      </c>
      <c r="G13" s="1914">
        <v>57924</v>
      </c>
      <c r="H13" s="1914">
        <f t="shared" si="0"/>
        <v>426541</v>
      </c>
    </row>
    <row r="14" spans="1:8" outlineLevel="1">
      <c r="A14" s="1913" t="s">
        <v>1314</v>
      </c>
      <c r="B14" s="1913" t="s">
        <v>1450</v>
      </c>
      <c r="C14" s="1919" t="s">
        <v>994</v>
      </c>
      <c r="D14" s="1919" t="s">
        <v>804</v>
      </c>
      <c r="E14" s="1913" t="s">
        <v>1242</v>
      </c>
      <c r="F14" s="1914">
        <v>30000000</v>
      </c>
      <c r="G14" s="1914">
        <v>0</v>
      </c>
      <c r="H14" s="1914">
        <f t="shared" si="0"/>
        <v>0</v>
      </c>
    </row>
    <row r="15" spans="1:8" outlineLevel="1">
      <c r="A15" s="1913" t="s">
        <v>1249</v>
      </c>
      <c r="B15" s="1913" t="s">
        <v>1451</v>
      </c>
      <c r="C15" s="1919" t="s">
        <v>1325</v>
      </c>
      <c r="D15" s="1919" t="s">
        <v>1326</v>
      </c>
      <c r="E15" s="1913" t="s">
        <v>1252</v>
      </c>
      <c r="F15" s="1914">
        <v>14480000</v>
      </c>
      <c r="G15" s="1914">
        <v>9153</v>
      </c>
      <c r="H15" s="1914">
        <f t="shared" si="0"/>
        <v>50000</v>
      </c>
    </row>
    <row r="16" spans="1:8" outlineLevel="1">
      <c r="A16" s="1913" t="s">
        <v>1253</v>
      </c>
      <c r="B16" s="1913" t="s">
        <v>1452</v>
      </c>
      <c r="C16" s="1919" t="s">
        <v>1327</v>
      </c>
      <c r="D16" s="1919" t="s">
        <v>1328</v>
      </c>
      <c r="E16" s="1913" t="s">
        <v>1256</v>
      </c>
      <c r="F16" s="1914">
        <v>2388880</v>
      </c>
      <c r="G16" s="1914">
        <v>1513</v>
      </c>
      <c r="H16" s="1914">
        <f t="shared" si="0"/>
        <v>13890</v>
      </c>
    </row>
    <row r="17" spans="1:8" outlineLevel="1">
      <c r="A17" s="1920" t="s">
        <v>1329</v>
      </c>
      <c r="B17" s="1920"/>
      <c r="C17" s="1921" t="s">
        <v>1330</v>
      </c>
      <c r="D17" s="1921" t="s">
        <v>1331</v>
      </c>
      <c r="F17" s="1918">
        <f>SUM(F12:F16)</f>
        <v>161009316</v>
      </c>
      <c r="G17" s="1918">
        <f>SUM(G12:G16)</f>
        <v>124844</v>
      </c>
      <c r="H17" s="1918">
        <f>SUM(H12:H16)</f>
        <v>1399522</v>
      </c>
    </row>
    <row r="18" spans="1:8" outlineLevel="1">
      <c r="A18" s="1913" t="s">
        <v>1243</v>
      </c>
      <c r="B18" s="1913" t="s">
        <v>797</v>
      </c>
      <c r="C18" s="1919" t="s">
        <v>1332</v>
      </c>
      <c r="D18" s="1919" t="s">
        <v>1333</v>
      </c>
      <c r="F18" s="1914">
        <v>30909083</v>
      </c>
      <c r="G18" s="1914">
        <v>64458</v>
      </c>
      <c r="H18" s="1914">
        <f t="shared" si="0"/>
        <v>909091</v>
      </c>
    </row>
    <row r="19" spans="1:8" outlineLevel="1">
      <c r="A19" s="1913" t="s">
        <v>1246</v>
      </c>
      <c r="B19" s="1913" t="s">
        <v>1449</v>
      </c>
      <c r="C19" s="1919" t="s">
        <v>1334</v>
      </c>
      <c r="D19" s="1919" t="s">
        <v>1335</v>
      </c>
      <c r="F19" s="1914">
        <v>81895721</v>
      </c>
      <c r="G19" s="1914">
        <v>63799</v>
      </c>
      <c r="H19" s="1914">
        <f t="shared" si="0"/>
        <v>426541</v>
      </c>
    </row>
    <row r="20" spans="1:8" outlineLevel="1">
      <c r="A20" s="1913" t="s">
        <v>1314</v>
      </c>
      <c r="B20" s="1913" t="s">
        <v>1450</v>
      </c>
      <c r="C20" s="1919" t="s">
        <v>994</v>
      </c>
      <c r="D20" s="1919" t="s">
        <v>1336</v>
      </c>
      <c r="E20" s="1913" t="s">
        <v>1242</v>
      </c>
      <c r="F20" s="1914">
        <v>30000000</v>
      </c>
      <c r="G20" s="1914">
        <v>141375</v>
      </c>
      <c r="H20" s="1914">
        <f t="shared" si="0"/>
        <v>0</v>
      </c>
    </row>
    <row r="21" spans="1:8" outlineLevel="1">
      <c r="A21" s="1913" t="s">
        <v>1249</v>
      </c>
      <c r="B21" s="1913" t="s">
        <v>1451</v>
      </c>
      <c r="C21" s="1919" t="s">
        <v>1337</v>
      </c>
      <c r="D21" s="1919" t="s">
        <v>1338</v>
      </c>
      <c r="E21" s="1913" t="s">
        <v>1252</v>
      </c>
      <c r="F21" s="1914">
        <v>14430000</v>
      </c>
      <c r="G21" s="1914">
        <v>10099</v>
      </c>
      <c r="H21" s="1914">
        <f t="shared" si="0"/>
        <v>50000</v>
      </c>
    </row>
    <row r="22" spans="1:8" outlineLevel="1">
      <c r="A22" s="1913" t="s">
        <v>1253</v>
      </c>
      <c r="B22" s="1913" t="s">
        <v>1452</v>
      </c>
      <c r="C22" s="1919" t="s">
        <v>1339</v>
      </c>
      <c r="D22" s="1919" t="s">
        <v>1340</v>
      </c>
      <c r="E22" s="1913" t="s">
        <v>1256</v>
      </c>
      <c r="F22" s="1914">
        <v>2374990</v>
      </c>
      <c r="G22" s="1914">
        <v>1666</v>
      </c>
      <c r="H22" s="1914">
        <f t="shared" si="0"/>
        <v>13890</v>
      </c>
    </row>
    <row r="23" spans="1:8" outlineLevel="1">
      <c r="A23" s="1920" t="s">
        <v>1341</v>
      </c>
      <c r="B23" s="1920"/>
      <c r="C23" s="1921" t="s">
        <v>1342</v>
      </c>
      <c r="D23" s="1921" t="s">
        <v>1343</v>
      </c>
      <c r="F23" s="1918">
        <f>SUM(F18:F22)</f>
        <v>159609794</v>
      </c>
      <c r="G23" s="1918">
        <f>SUM(G18:G22)</f>
        <v>281397</v>
      </c>
      <c r="H23" s="1918">
        <f>SUM(H18:H22)</f>
        <v>1399522</v>
      </c>
    </row>
    <row r="24" spans="1:8" outlineLevel="1">
      <c r="A24" s="1913" t="s">
        <v>1243</v>
      </c>
      <c r="B24" s="1913" t="s">
        <v>797</v>
      </c>
      <c r="C24" s="1919" t="s">
        <v>1344</v>
      </c>
      <c r="D24" s="1919" t="s">
        <v>1345</v>
      </c>
      <c r="E24" s="1913" t="s">
        <v>1346</v>
      </c>
      <c r="F24" s="1914">
        <v>29999992</v>
      </c>
      <c r="G24" s="1914">
        <v>28590</v>
      </c>
      <c r="H24" s="1914">
        <f t="shared" si="0"/>
        <v>909091</v>
      </c>
    </row>
    <row r="25" spans="1:8" outlineLevel="1">
      <c r="A25" s="1913" t="s">
        <v>1246</v>
      </c>
      <c r="B25" s="1913" t="s">
        <v>1449</v>
      </c>
      <c r="C25" s="1919" t="s">
        <v>1347</v>
      </c>
      <c r="D25" s="1919" t="s">
        <v>1348</v>
      </c>
      <c r="E25" s="1913" t="s">
        <v>1349</v>
      </c>
      <c r="F25" s="1914">
        <v>81469180</v>
      </c>
      <c r="G25" s="1914">
        <v>61421</v>
      </c>
      <c r="H25" s="1914">
        <f t="shared" si="0"/>
        <v>426541</v>
      </c>
    </row>
    <row r="26" spans="1:8" outlineLevel="1">
      <c r="A26" s="1913" t="s">
        <v>1314</v>
      </c>
      <c r="B26" s="1913" t="s">
        <v>1450</v>
      </c>
      <c r="C26" s="1919" t="s">
        <v>994</v>
      </c>
      <c r="D26" s="1919" t="s">
        <v>804</v>
      </c>
      <c r="E26" s="1913" t="s">
        <v>1242</v>
      </c>
      <c r="F26" s="1914">
        <v>30000000</v>
      </c>
      <c r="G26" s="1914">
        <v>0</v>
      </c>
      <c r="H26" s="1914">
        <f t="shared" si="0"/>
        <v>0</v>
      </c>
    </row>
    <row r="27" spans="1:8" outlineLevel="1">
      <c r="A27" s="1913" t="s">
        <v>1249</v>
      </c>
      <c r="B27" s="1913" t="s">
        <v>1451</v>
      </c>
      <c r="C27" s="1919" t="s">
        <v>1350</v>
      </c>
      <c r="D27" s="1919" t="s">
        <v>1351</v>
      </c>
      <c r="E27" s="1913" t="s">
        <v>1252</v>
      </c>
      <c r="F27" s="1914">
        <v>14380000</v>
      </c>
      <c r="G27" s="1914">
        <v>9740</v>
      </c>
      <c r="H27" s="1914">
        <f t="shared" si="0"/>
        <v>50000</v>
      </c>
    </row>
    <row r="28" spans="1:8" outlineLevel="1">
      <c r="A28" s="1913" t="s">
        <v>1253</v>
      </c>
      <c r="B28" s="1913" t="s">
        <v>1452</v>
      </c>
      <c r="C28" s="1919" t="s">
        <v>1352</v>
      </c>
      <c r="D28" s="1919" t="s">
        <v>1353</v>
      </c>
      <c r="E28" s="1913" t="s">
        <v>1256</v>
      </c>
      <c r="F28" s="1914">
        <v>2361100</v>
      </c>
      <c r="G28" s="1914">
        <v>1603</v>
      </c>
      <c r="H28" s="1914">
        <f t="shared" si="0"/>
        <v>13890</v>
      </c>
    </row>
    <row r="29" spans="1:8" outlineLevel="1">
      <c r="A29" s="1920" t="s">
        <v>1354</v>
      </c>
      <c r="B29" s="1920"/>
      <c r="C29" s="1921" t="s">
        <v>1355</v>
      </c>
      <c r="D29" s="1921" t="s">
        <v>1356</v>
      </c>
      <c r="F29" s="1918">
        <f>SUM(F24:F28)</f>
        <v>158210272</v>
      </c>
      <c r="G29" s="1918">
        <f>SUM(G24:G28)</f>
        <v>101354</v>
      </c>
      <c r="H29" s="1918">
        <f>SUM(H24:H28)</f>
        <v>1399522</v>
      </c>
    </row>
    <row r="30" spans="1:8" outlineLevel="1">
      <c r="A30" s="1913" t="s">
        <v>1243</v>
      </c>
      <c r="B30" s="1913" t="s">
        <v>797</v>
      </c>
      <c r="C30" s="1919" t="s">
        <v>1357</v>
      </c>
      <c r="D30" s="1919" t="s">
        <v>1358</v>
      </c>
      <c r="E30" s="1913" t="s">
        <v>1346</v>
      </c>
      <c r="F30" s="1914">
        <v>29090901</v>
      </c>
      <c r="G30" s="1914">
        <v>28674</v>
      </c>
      <c r="H30" s="1914">
        <f t="shared" si="0"/>
        <v>909091</v>
      </c>
    </row>
    <row r="31" spans="1:8" outlineLevel="1">
      <c r="A31" s="1913" t="s">
        <v>1246</v>
      </c>
      <c r="B31" s="1913" t="s">
        <v>1449</v>
      </c>
      <c r="C31" s="1919" t="s">
        <v>1359</v>
      </c>
      <c r="D31" s="1919" t="s">
        <v>1360</v>
      </c>
      <c r="E31" s="1913" t="s">
        <v>1349</v>
      </c>
      <c r="F31" s="1914">
        <v>81042639</v>
      </c>
      <c r="G31" s="1914">
        <v>63138</v>
      </c>
      <c r="H31" s="1914">
        <f t="shared" si="0"/>
        <v>426541</v>
      </c>
    </row>
    <row r="32" spans="1:8" outlineLevel="1">
      <c r="A32" s="1913" t="s">
        <v>1314</v>
      </c>
      <c r="B32" s="1913" t="s">
        <v>1450</v>
      </c>
      <c r="C32" s="1919" t="s">
        <v>994</v>
      </c>
      <c r="D32" s="1919" t="s">
        <v>804</v>
      </c>
      <c r="E32" s="1913" t="s">
        <v>1242</v>
      </c>
      <c r="F32" s="1914">
        <v>30000000</v>
      </c>
      <c r="G32" s="1914">
        <v>0</v>
      </c>
      <c r="H32" s="1914">
        <f t="shared" si="0"/>
        <v>0</v>
      </c>
    </row>
    <row r="33" spans="1:8" outlineLevel="1">
      <c r="A33" s="1913" t="s">
        <v>1249</v>
      </c>
      <c r="B33" s="1913" t="s">
        <v>1451</v>
      </c>
      <c r="C33" s="1919" t="s">
        <v>1361</v>
      </c>
      <c r="D33" s="1919" t="s">
        <v>1362</v>
      </c>
      <c r="E33" s="1913" t="s">
        <v>1252</v>
      </c>
      <c r="F33" s="1914">
        <v>14330000</v>
      </c>
      <c r="G33" s="1914">
        <v>10030</v>
      </c>
      <c r="H33" s="1914">
        <f t="shared" si="0"/>
        <v>50000</v>
      </c>
    </row>
    <row r="34" spans="1:8" outlineLevel="1">
      <c r="A34" s="1913" t="s">
        <v>1253</v>
      </c>
      <c r="B34" s="1913" t="s">
        <v>1452</v>
      </c>
      <c r="C34" s="1919" t="s">
        <v>1363</v>
      </c>
      <c r="D34" s="1919" t="s">
        <v>1364</v>
      </c>
      <c r="E34" s="1913" t="s">
        <v>1256</v>
      </c>
      <c r="F34" s="1914">
        <v>2347210</v>
      </c>
      <c r="G34" s="1914">
        <v>1646</v>
      </c>
      <c r="H34" s="1914">
        <f t="shared" si="0"/>
        <v>13890</v>
      </c>
    </row>
    <row r="35" spans="1:8" outlineLevel="1">
      <c r="A35" s="1920" t="s">
        <v>1365</v>
      </c>
      <c r="B35" s="1920"/>
      <c r="C35" s="1921" t="s">
        <v>1366</v>
      </c>
      <c r="D35" s="1921" t="s">
        <v>1367</v>
      </c>
      <c r="F35" s="1918">
        <f>SUM(F30:F34)</f>
        <v>156810750</v>
      </c>
      <c r="G35" s="1918">
        <f>SUM(G30:G34)</f>
        <v>103488</v>
      </c>
      <c r="H35" s="1918">
        <f>SUM(H30:H34)</f>
        <v>1399522</v>
      </c>
    </row>
    <row r="36" spans="1:8" outlineLevel="1">
      <c r="A36" s="1913" t="s">
        <v>1243</v>
      </c>
      <c r="B36" s="1913" t="s">
        <v>797</v>
      </c>
      <c r="C36" s="1919" t="s">
        <v>1368</v>
      </c>
      <c r="D36" s="1919" t="s">
        <v>1369</v>
      </c>
      <c r="E36" s="1913" t="s">
        <v>1346</v>
      </c>
      <c r="F36" s="1914">
        <v>28181810</v>
      </c>
      <c r="G36" s="1914">
        <v>26909</v>
      </c>
      <c r="H36" s="1914">
        <f t="shared" si="0"/>
        <v>909091</v>
      </c>
    </row>
    <row r="37" spans="1:8" outlineLevel="1">
      <c r="A37" s="1913" t="s">
        <v>1246</v>
      </c>
      <c r="B37" s="1913" t="s">
        <v>1449</v>
      </c>
      <c r="C37" s="1919" t="s">
        <v>1370</v>
      </c>
      <c r="D37" s="1919" t="s">
        <v>1371</v>
      </c>
      <c r="E37" s="1913" t="s">
        <v>1349</v>
      </c>
      <c r="F37" s="1914">
        <v>80616098</v>
      </c>
      <c r="G37" s="1914">
        <v>60871</v>
      </c>
      <c r="H37" s="1914">
        <f t="shared" si="0"/>
        <v>426541</v>
      </c>
    </row>
    <row r="38" spans="1:8" outlineLevel="1">
      <c r="A38" s="1913" t="s">
        <v>1372</v>
      </c>
      <c r="B38" s="1913" t="s">
        <v>1450</v>
      </c>
      <c r="C38" s="1919" t="s">
        <v>1373</v>
      </c>
      <c r="D38" s="1919" t="s">
        <v>1136</v>
      </c>
      <c r="E38" s="1913" t="s">
        <v>1242</v>
      </c>
      <c r="F38" s="1914">
        <v>29433960</v>
      </c>
      <c r="G38" s="1914">
        <v>149500</v>
      </c>
      <c r="H38" s="1914">
        <f t="shared" si="0"/>
        <v>566040</v>
      </c>
    </row>
    <row r="39" spans="1:8" outlineLevel="1">
      <c r="A39" s="1913" t="s">
        <v>1249</v>
      </c>
      <c r="B39" s="1913" t="s">
        <v>1451</v>
      </c>
      <c r="C39" s="1919" t="s">
        <v>1374</v>
      </c>
      <c r="D39" s="1919" t="s">
        <v>1375</v>
      </c>
      <c r="E39" s="1913" t="s">
        <v>1252</v>
      </c>
      <c r="F39" s="1914">
        <v>14280000</v>
      </c>
      <c r="G39" s="1914">
        <v>9672</v>
      </c>
      <c r="H39" s="1914">
        <f t="shared" si="0"/>
        <v>50000</v>
      </c>
    </row>
    <row r="40" spans="1:8" outlineLevel="1">
      <c r="A40" s="1913" t="s">
        <v>1253</v>
      </c>
      <c r="B40" s="1913" t="s">
        <v>1452</v>
      </c>
      <c r="C40" s="1919" t="s">
        <v>1376</v>
      </c>
      <c r="D40" s="1919" t="s">
        <v>1377</v>
      </c>
      <c r="E40" s="1913" t="s">
        <v>1256</v>
      </c>
      <c r="F40" s="1914">
        <v>2333320</v>
      </c>
      <c r="G40" s="1914">
        <v>1593</v>
      </c>
      <c r="H40" s="1914">
        <f t="shared" si="0"/>
        <v>13890</v>
      </c>
    </row>
    <row r="41" spans="1:8" outlineLevel="1">
      <c r="A41" s="1920" t="s">
        <v>1378</v>
      </c>
      <c r="B41" s="1920"/>
      <c r="C41" s="1921" t="s">
        <v>1379</v>
      </c>
      <c r="D41" s="1921" t="s">
        <v>1380</v>
      </c>
      <c r="F41" s="1918">
        <f>SUM(F36:F40)</f>
        <v>154845188</v>
      </c>
      <c r="G41" s="1918">
        <f>SUM(G36:G40)</f>
        <v>248545</v>
      </c>
      <c r="H41" s="1918">
        <f>SUM(H36:H40)</f>
        <v>1965562</v>
      </c>
    </row>
    <row r="42" spans="1:8" outlineLevel="1">
      <c r="A42" s="1913" t="s">
        <v>1243</v>
      </c>
      <c r="B42" s="1913" t="s">
        <v>797</v>
      </c>
      <c r="C42" s="1919" t="s">
        <v>1381</v>
      </c>
      <c r="D42" s="1919" t="s">
        <v>1382</v>
      </c>
      <c r="E42" s="1913" t="s">
        <v>1346</v>
      </c>
      <c r="F42" s="1914">
        <v>27272719</v>
      </c>
      <c r="G42" s="1914">
        <v>33246</v>
      </c>
      <c r="H42" s="1914">
        <f t="shared" si="0"/>
        <v>909091</v>
      </c>
    </row>
    <row r="43" spans="1:8" outlineLevel="1">
      <c r="A43" s="1913" t="s">
        <v>1246</v>
      </c>
      <c r="B43" s="1913" t="s">
        <v>1449</v>
      </c>
      <c r="C43" s="1919" t="s">
        <v>1383</v>
      </c>
      <c r="D43" s="1919" t="s">
        <v>1384</v>
      </c>
      <c r="E43" s="1913" t="s">
        <v>1349</v>
      </c>
      <c r="F43" s="1914">
        <v>80189557</v>
      </c>
      <c r="G43" s="1914">
        <v>62477</v>
      </c>
      <c r="H43" s="1914">
        <f t="shared" si="0"/>
        <v>426541</v>
      </c>
    </row>
    <row r="44" spans="1:8" outlineLevel="1">
      <c r="A44" s="1913" t="s">
        <v>1372</v>
      </c>
      <c r="B44" s="1913" t="s">
        <v>1450</v>
      </c>
      <c r="C44" s="1919" t="s">
        <v>1373</v>
      </c>
      <c r="D44" s="1919" t="s">
        <v>804</v>
      </c>
      <c r="E44" s="1913" t="s">
        <v>1242</v>
      </c>
      <c r="F44" s="1914">
        <v>29433960</v>
      </c>
      <c r="G44" s="1914">
        <v>0</v>
      </c>
      <c r="H44" s="1914">
        <f t="shared" si="0"/>
        <v>0</v>
      </c>
    </row>
    <row r="45" spans="1:8" outlineLevel="1">
      <c r="A45" s="1913" t="s">
        <v>1249</v>
      </c>
      <c r="B45" s="1913" t="s">
        <v>1451</v>
      </c>
      <c r="C45" s="1919" t="s">
        <v>1385</v>
      </c>
      <c r="D45" s="1919" t="s">
        <v>1386</v>
      </c>
      <c r="E45" s="1913" t="s">
        <v>1252</v>
      </c>
      <c r="F45" s="1914">
        <v>14230000</v>
      </c>
      <c r="G45" s="1914">
        <v>13157</v>
      </c>
      <c r="H45" s="1914">
        <f t="shared" si="0"/>
        <v>50000</v>
      </c>
    </row>
    <row r="46" spans="1:8" outlineLevel="1">
      <c r="A46" s="1913" t="s">
        <v>1253</v>
      </c>
      <c r="B46" s="1913" t="s">
        <v>1452</v>
      </c>
      <c r="C46" s="1919" t="s">
        <v>1387</v>
      </c>
      <c r="D46" s="1919" t="s">
        <v>1388</v>
      </c>
      <c r="E46" s="1913" t="s">
        <v>1256</v>
      </c>
      <c r="F46" s="1914">
        <v>2319430</v>
      </c>
      <c r="G46" s="1914">
        <v>1890</v>
      </c>
      <c r="H46" s="1914">
        <f t="shared" si="0"/>
        <v>13890</v>
      </c>
    </row>
    <row r="47" spans="1:8" outlineLevel="1">
      <c r="A47" s="1920" t="s">
        <v>1389</v>
      </c>
      <c r="B47" s="1920"/>
      <c r="C47" s="1921" t="s">
        <v>1390</v>
      </c>
      <c r="D47" s="1921" t="s">
        <v>1391</v>
      </c>
      <c r="F47" s="1918">
        <f>SUM(F42:F46)</f>
        <v>153445666</v>
      </c>
      <c r="G47" s="1918">
        <f>SUM(G42:G46)</f>
        <v>110770</v>
      </c>
      <c r="H47" s="1918">
        <f>SUM(H42:H46)</f>
        <v>1399522</v>
      </c>
    </row>
    <row r="48" spans="1:8" outlineLevel="1">
      <c r="A48" s="1913" t="s">
        <v>1243</v>
      </c>
      <c r="B48" s="1913" t="s">
        <v>797</v>
      </c>
      <c r="C48" s="1919" t="s">
        <v>1392</v>
      </c>
      <c r="D48" s="1919" t="s">
        <v>1393</v>
      </c>
      <c r="E48" s="1913" t="s">
        <v>1346</v>
      </c>
      <c r="F48" s="1914">
        <v>26363628</v>
      </c>
      <c r="G48" s="1914">
        <v>32643.93</v>
      </c>
      <c r="H48" s="1914">
        <f t="shared" si="0"/>
        <v>909091</v>
      </c>
    </row>
    <row r="49" spans="1:8" outlineLevel="1">
      <c r="A49" s="1913" t="s">
        <v>1246</v>
      </c>
      <c r="B49" s="1913" t="s">
        <v>1449</v>
      </c>
      <c r="C49" s="1919" t="s">
        <v>1394</v>
      </c>
      <c r="D49" s="1919" t="s">
        <v>1395</v>
      </c>
      <c r="E49" s="1913" t="s">
        <v>1349</v>
      </c>
      <c r="F49" s="1914">
        <v>79763016</v>
      </c>
      <c r="G49" s="1914">
        <v>62146</v>
      </c>
      <c r="H49" s="1914">
        <f t="shared" si="0"/>
        <v>426541</v>
      </c>
    </row>
    <row r="50" spans="1:8" outlineLevel="1">
      <c r="A50" s="1913" t="s">
        <v>1372</v>
      </c>
      <c r="B50" s="1913" t="s">
        <v>1450</v>
      </c>
      <c r="C50" s="1919" t="s">
        <v>1373</v>
      </c>
      <c r="D50" s="1919" t="s">
        <v>804</v>
      </c>
      <c r="E50" s="1913" t="s">
        <v>1242</v>
      </c>
      <c r="F50" s="1914">
        <v>29433960</v>
      </c>
      <c r="G50" s="1914">
        <v>0</v>
      </c>
      <c r="H50" s="1914">
        <f t="shared" si="0"/>
        <v>0</v>
      </c>
    </row>
    <row r="51" spans="1:8" outlineLevel="1">
      <c r="A51" s="1913" t="s">
        <v>1249</v>
      </c>
      <c r="B51" s="1913" t="s">
        <v>1451</v>
      </c>
      <c r="C51" s="1919" t="s">
        <v>1396</v>
      </c>
      <c r="D51" s="1919" t="s">
        <v>1397</v>
      </c>
      <c r="E51" s="1913" t="s">
        <v>1252</v>
      </c>
      <c r="F51" s="1914">
        <v>14180000</v>
      </c>
      <c r="G51" s="1914">
        <v>13356</v>
      </c>
      <c r="H51" s="1914">
        <f t="shared" si="0"/>
        <v>50000</v>
      </c>
    </row>
    <row r="52" spans="1:8" outlineLevel="1">
      <c r="A52" s="1913" t="s">
        <v>1253</v>
      </c>
      <c r="B52" s="1913" t="s">
        <v>1452</v>
      </c>
      <c r="C52" s="1919" t="s">
        <v>1398</v>
      </c>
      <c r="D52" s="1919" t="s">
        <v>1399</v>
      </c>
      <c r="E52" s="1913" t="s">
        <v>1256</v>
      </c>
      <c r="F52" s="1914">
        <v>2305540</v>
      </c>
      <c r="G52" s="1914">
        <v>2388</v>
      </c>
      <c r="H52" s="1914">
        <f t="shared" si="0"/>
        <v>13890</v>
      </c>
    </row>
    <row r="53" spans="1:8" outlineLevel="1">
      <c r="A53" s="1920" t="s">
        <v>1400</v>
      </c>
      <c r="B53" s="1920"/>
      <c r="C53" s="1921" t="s">
        <v>1401</v>
      </c>
      <c r="D53" s="1921" t="s">
        <v>1402</v>
      </c>
      <c r="F53" s="1918">
        <f>SUM(F48:F52)</f>
        <v>152046144</v>
      </c>
      <c r="G53" s="1918">
        <f>SUM(G48:G52)</f>
        <v>110533.93</v>
      </c>
      <c r="H53" s="1918">
        <f>SUM(H48:H52)</f>
        <v>1399522</v>
      </c>
    </row>
    <row r="54" spans="1:8" outlineLevel="1">
      <c r="A54" s="1913" t="s">
        <v>1243</v>
      </c>
      <c r="B54" s="1913" t="s">
        <v>797</v>
      </c>
      <c r="C54" s="1919" t="s">
        <v>1403</v>
      </c>
      <c r="D54" s="1919" t="s">
        <v>1404</v>
      </c>
      <c r="E54" s="1913" t="s">
        <v>1346</v>
      </c>
      <c r="F54" s="1914">
        <v>25454537</v>
      </c>
      <c r="G54" s="1914">
        <v>35590</v>
      </c>
      <c r="H54" s="1914">
        <f t="shared" si="0"/>
        <v>909091</v>
      </c>
    </row>
    <row r="55" spans="1:8" outlineLevel="1">
      <c r="A55" s="1913" t="s">
        <v>1246</v>
      </c>
      <c r="B55" s="1913" t="s">
        <v>1449</v>
      </c>
      <c r="C55" s="1919" t="s">
        <v>1405</v>
      </c>
      <c r="D55" s="1919" t="s">
        <v>1406</v>
      </c>
      <c r="E55" s="1913" t="s">
        <v>1349</v>
      </c>
      <c r="F55" s="1914">
        <v>79336475</v>
      </c>
      <c r="G55" s="1914">
        <v>59822</v>
      </c>
      <c r="H55" s="1914">
        <f t="shared" si="0"/>
        <v>426541</v>
      </c>
    </row>
    <row r="56" spans="1:8" outlineLevel="1">
      <c r="A56" s="1913" t="s">
        <v>1372</v>
      </c>
      <c r="B56" s="1913" t="s">
        <v>1450</v>
      </c>
      <c r="C56" s="1919" t="s">
        <v>1407</v>
      </c>
      <c r="D56" s="1919" t="s">
        <v>1408</v>
      </c>
      <c r="E56" s="1913" t="s">
        <v>1242</v>
      </c>
      <c r="F56" s="1914">
        <v>28867920</v>
      </c>
      <c r="G56" s="1914">
        <v>149867</v>
      </c>
      <c r="H56" s="1914">
        <f t="shared" si="0"/>
        <v>566040</v>
      </c>
    </row>
    <row r="57" spans="1:8" outlineLevel="1">
      <c r="A57" s="1913" t="s">
        <v>1249</v>
      </c>
      <c r="B57" s="1913" t="s">
        <v>1451</v>
      </c>
      <c r="C57" s="1919" t="s">
        <v>1409</v>
      </c>
      <c r="D57" s="1919" t="s">
        <v>1410</v>
      </c>
      <c r="E57" s="1913" t="s">
        <v>1252</v>
      </c>
      <c r="F57" s="1914">
        <v>14130000</v>
      </c>
      <c r="G57" s="1914">
        <v>15598</v>
      </c>
      <c r="H57" s="1914">
        <f t="shared" si="0"/>
        <v>50000</v>
      </c>
    </row>
    <row r="58" spans="1:8" outlineLevel="1">
      <c r="A58" s="1913" t="s">
        <v>1253</v>
      </c>
      <c r="B58" s="1913" t="s">
        <v>1452</v>
      </c>
      <c r="C58" s="1919" t="s">
        <v>1411</v>
      </c>
      <c r="D58" s="1919" t="s">
        <v>1412</v>
      </c>
      <c r="E58" s="1913" t="s">
        <v>1256</v>
      </c>
      <c r="F58" s="1914">
        <v>2291650</v>
      </c>
      <c r="G58" s="1914">
        <v>2573</v>
      </c>
      <c r="H58" s="1914">
        <f t="shared" si="0"/>
        <v>13890</v>
      </c>
    </row>
    <row r="59" spans="1:8" outlineLevel="1">
      <c r="A59" s="1920" t="s">
        <v>1413</v>
      </c>
      <c r="B59" s="1920"/>
      <c r="C59" s="1921" t="s">
        <v>1414</v>
      </c>
      <c r="D59" s="1921" t="s">
        <v>1415</v>
      </c>
      <c r="F59" s="1918">
        <f>SUM(F54:F58)</f>
        <v>150080582</v>
      </c>
      <c r="G59" s="1918">
        <f>SUM(G54:G58)</f>
        <v>263450</v>
      </c>
      <c r="H59" s="1918">
        <f>SUM(H54:H58)</f>
        <v>1965562</v>
      </c>
    </row>
    <row r="60" spans="1:8" outlineLevel="1">
      <c r="A60" s="1913" t="s">
        <v>1243</v>
      </c>
      <c r="B60" s="1913" t="s">
        <v>797</v>
      </c>
      <c r="C60" s="1919" t="s">
        <v>1416</v>
      </c>
      <c r="D60" s="1919" t="s">
        <v>1417</v>
      </c>
      <c r="E60" s="1913" t="s">
        <v>1346</v>
      </c>
      <c r="F60" s="1914">
        <v>24545446</v>
      </c>
      <c r="G60" s="1914">
        <v>37920</v>
      </c>
      <c r="H60" s="1914">
        <f t="shared" si="0"/>
        <v>909091</v>
      </c>
    </row>
    <row r="61" spans="1:8" outlineLevel="1">
      <c r="A61" s="1913" t="s">
        <v>1246</v>
      </c>
      <c r="B61" s="1913" t="s">
        <v>1449</v>
      </c>
      <c r="C61" s="1919" t="s">
        <v>1418</v>
      </c>
      <c r="D61" s="1919" t="s">
        <v>1419</v>
      </c>
      <c r="E61" s="1913" t="s">
        <v>1349</v>
      </c>
      <c r="F61" s="1914">
        <v>78909934</v>
      </c>
      <c r="G61" s="1914">
        <v>61485</v>
      </c>
      <c r="H61" s="1914">
        <f t="shared" si="0"/>
        <v>426541</v>
      </c>
    </row>
    <row r="62" spans="1:8" outlineLevel="1">
      <c r="A62" s="1913" t="s">
        <v>1372</v>
      </c>
      <c r="B62" s="1913" t="s">
        <v>1450</v>
      </c>
      <c r="C62" s="1919" t="s">
        <v>1407</v>
      </c>
      <c r="D62" s="1919" t="s">
        <v>804</v>
      </c>
      <c r="E62" s="1913" t="s">
        <v>1242</v>
      </c>
      <c r="F62" s="1914">
        <v>28867920</v>
      </c>
      <c r="G62" s="1914">
        <v>0</v>
      </c>
      <c r="H62" s="1914">
        <f t="shared" si="0"/>
        <v>0</v>
      </c>
    </row>
    <row r="63" spans="1:8" outlineLevel="1">
      <c r="A63" s="1913" t="s">
        <v>1249</v>
      </c>
      <c r="B63" s="1913" t="s">
        <v>1451</v>
      </c>
      <c r="C63" s="1919" t="s">
        <v>1420</v>
      </c>
      <c r="D63" s="1919" t="s">
        <v>1421</v>
      </c>
      <c r="E63" s="1913" t="s">
        <v>1252</v>
      </c>
      <c r="F63" s="1914">
        <v>14080000</v>
      </c>
      <c r="G63" s="1914">
        <v>17399</v>
      </c>
      <c r="H63" s="1914">
        <f t="shared" si="0"/>
        <v>50000</v>
      </c>
    </row>
    <row r="64" spans="1:8" outlineLevel="1">
      <c r="A64" s="1913" t="s">
        <v>1253</v>
      </c>
      <c r="B64" s="1913" t="s">
        <v>1452</v>
      </c>
      <c r="C64" s="1919" t="s">
        <v>1422</v>
      </c>
      <c r="D64" s="1919" t="s">
        <v>1423</v>
      </c>
      <c r="E64" s="1913" t="s">
        <v>1256</v>
      </c>
      <c r="F64" s="1914">
        <v>2277760</v>
      </c>
      <c r="G64" s="1914">
        <v>3437</v>
      </c>
      <c r="H64" s="1914">
        <f t="shared" si="0"/>
        <v>13890</v>
      </c>
    </row>
    <row r="65" spans="1:12" outlineLevel="1">
      <c r="A65" s="1920" t="s">
        <v>1424</v>
      </c>
      <c r="B65" s="1920"/>
      <c r="C65" s="1921" t="s">
        <v>1425</v>
      </c>
      <c r="D65" s="1921" t="s">
        <v>1426</v>
      </c>
      <c r="F65" s="1918">
        <f>SUM(F60:F64)</f>
        <v>148681060</v>
      </c>
      <c r="G65" s="1918">
        <f>SUM(G60:G64)</f>
        <v>120241</v>
      </c>
      <c r="H65" s="1918">
        <f>SUM(H60:H64)</f>
        <v>1399522</v>
      </c>
    </row>
    <row r="66" spans="1:12" outlineLevel="1">
      <c r="A66" s="1913" t="s">
        <v>1243</v>
      </c>
      <c r="B66" s="1913" t="s">
        <v>797</v>
      </c>
      <c r="C66" s="1919" t="s">
        <v>1435</v>
      </c>
      <c r="D66" s="1919" t="s">
        <v>1436</v>
      </c>
      <c r="E66" s="1913" t="s">
        <v>1346</v>
      </c>
      <c r="F66" s="1914">
        <v>23636355</v>
      </c>
      <c r="G66" s="1914">
        <v>52210</v>
      </c>
      <c r="H66" s="1914">
        <f t="shared" si="0"/>
        <v>909091</v>
      </c>
    </row>
    <row r="67" spans="1:12" outlineLevel="1">
      <c r="A67" s="1913" t="s">
        <v>1246</v>
      </c>
      <c r="B67" s="1913" t="s">
        <v>1449</v>
      </c>
      <c r="C67" s="1919" t="s">
        <v>1437</v>
      </c>
      <c r="D67" s="1919" t="s">
        <v>1438</v>
      </c>
      <c r="E67" s="1913" t="s">
        <v>1349</v>
      </c>
      <c r="F67" s="1914">
        <v>78483393</v>
      </c>
      <c r="G67" s="1914">
        <v>59182</v>
      </c>
      <c r="H67" s="1914">
        <f t="shared" si="0"/>
        <v>426541</v>
      </c>
    </row>
    <row r="68" spans="1:12" outlineLevel="1">
      <c r="A68" s="1913" t="s">
        <v>1372</v>
      </c>
      <c r="B68" s="1913" t="s">
        <v>1450</v>
      </c>
      <c r="C68" s="1919" t="s">
        <v>1407</v>
      </c>
      <c r="D68" s="1919" t="s">
        <v>804</v>
      </c>
      <c r="E68" s="1913" t="s">
        <v>1242</v>
      </c>
      <c r="F68" s="1914">
        <v>28867920</v>
      </c>
      <c r="G68" s="1914">
        <v>0</v>
      </c>
      <c r="H68" s="1914">
        <f t="shared" si="0"/>
        <v>0</v>
      </c>
    </row>
    <row r="69" spans="1:12" outlineLevel="1">
      <c r="A69" s="1913" t="s">
        <v>1249</v>
      </c>
      <c r="B69" s="1913" t="s">
        <v>1451</v>
      </c>
      <c r="C69" s="1919" t="s">
        <v>1250</v>
      </c>
      <c r="D69" s="1919" t="s">
        <v>1439</v>
      </c>
      <c r="E69" s="1913" t="s">
        <v>1252</v>
      </c>
      <c r="F69" s="1914">
        <v>14030000</v>
      </c>
      <c r="G69" s="1914">
        <v>26400</v>
      </c>
      <c r="H69" s="1914">
        <f t="shared" si="0"/>
        <v>50000</v>
      </c>
    </row>
    <row r="70" spans="1:12" outlineLevel="1">
      <c r="A70" s="1913" t="s">
        <v>1253</v>
      </c>
      <c r="B70" s="1913" t="s">
        <v>1452</v>
      </c>
      <c r="C70" s="1919" t="s">
        <v>1440</v>
      </c>
      <c r="D70" s="1919" t="s">
        <v>1441</v>
      </c>
      <c r="E70" s="1913" t="s">
        <v>1256</v>
      </c>
      <c r="F70" s="1914">
        <v>2263870</v>
      </c>
      <c r="G70" s="1914">
        <v>5162</v>
      </c>
      <c r="H70" s="1914">
        <f t="shared" si="0"/>
        <v>13890</v>
      </c>
    </row>
    <row r="71" spans="1:12" outlineLevel="1">
      <c r="A71" s="1920" t="s">
        <v>1453</v>
      </c>
      <c r="B71" s="1920"/>
      <c r="C71" s="1921" t="s">
        <v>1442</v>
      </c>
      <c r="D71" s="1921" t="s">
        <v>1443</v>
      </c>
      <c r="F71" s="1918">
        <f>SUM(F66:F70)</f>
        <v>147281538</v>
      </c>
      <c r="G71" s="1918">
        <f>SUM(G66:G70)</f>
        <v>142954</v>
      </c>
      <c r="H71" s="1918">
        <f>SUM(H66:H70)</f>
        <v>1399522</v>
      </c>
    </row>
    <row r="72" spans="1:12">
      <c r="A72" s="1913" t="s">
        <v>1243</v>
      </c>
      <c r="B72" s="1913" t="s">
        <v>797</v>
      </c>
      <c r="C72" s="1919" t="s">
        <v>1454</v>
      </c>
      <c r="D72" s="1919" t="s">
        <v>1455</v>
      </c>
      <c r="E72" s="1913" t="s">
        <v>1346</v>
      </c>
      <c r="F72" s="1914">
        <v>22727264</v>
      </c>
      <c r="G72" s="1914">
        <v>74697</v>
      </c>
      <c r="H72" s="1914">
        <f t="shared" si="0"/>
        <v>909091</v>
      </c>
      <c r="J72" s="1931">
        <f>+F72</f>
        <v>22727264</v>
      </c>
      <c r="K72" s="1931">
        <f t="shared" ref="K72:L76" si="1">+G72+G66+G60+G54+G48+G42+G36+G30+G24+G18+G12+G6</f>
        <v>531073.92999999993</v>
      </c>
      <c r="L72" s="1931">
        <f t="shared" si="1"/>
        <v>10909092</v>
      </c>
    </row>
    <row r="73" spans="1:12">
      <c r="A73" s="1913" t="s">
        <v>1246</v>
      </c>
      <c r="B73" s="1913" t="s">
        <v>1449</v>
      </c>
      <c r="C73" s="1919" t="s">
        <v>1456</v>
      </c>
      <c r="D73" s="1919" t="s">
        <v>1457</v>
      </c>
      <c r="E73" s="1913" t="s">
        <v>1349</v>
      </c>
      <c r="F73" s="1914">
        <v>78056852</v>
      </c>
      <c r="G73" s="1914">
        <v>60824</v>
      </c>
      <c r="H73" s="1914">
        <f t="shared" si="0"/>
        <v>426541</v>
      </c>
      <c r="J73" s="1931">
        <f t="shared" ref="J73:J76" si="2">+F73</f>
        <v>78056852</v>
      </c>
      <c r="K73" s="1931">
        <f t="shared" si="1"/>
        <v>737549</v>
      </c>
      <c r="L73" s="1931">
        <f t="shared" si="1"/>
        <v>5118492</v>
      </c>
    </row>
    <row r="74" spans="1:12">
      <c r="A74" s="1913" t="s">
        <v>1372</v>
      </c>
      <c r="B74" s="1913" t="s">
        <v>1450</v>
      </c>
      <c r="C74" s="1919" t="s">
        <v>1458</v>
      </c>
      <c r="D74" s="1919" t="s">
        <v>1459</v>
      </c>
      <c r="E74" s="1913" t="s">
        <v>1242</v>
      </c>
      <c r="F74" s="1914">
        <v>28301880</v>
      </c>
      <c r="G74" s="1914">
        <v>142294</v>
      </c>
      <c r="H74" s="1914">
        <f t="shared" si="0"/>
        <v>566040</v>
      </c>
      <c r="J74" s="1931">
        <f t="shared" si="2"/>
        <v>28301880</v>
      </c>
      <c r="K74" s="1931">
        <f t="shared" si="1"/>
        <v>583036</v>
      </c>
      <c r="L74" s="1931">
        <f t="shared" si="1"/>
        <v>1698120</v>
      </c>
    </row>
    <row r="75" spans="1:12">
      <c r="A75" s="1913" t="s">
        <v>1249</v>
      </c>
      <c r="B75" s="1913" t="s">
        <v>1451</v>
      </c>
      <c r="C75" s="1919" t="s">
        <v>1460</v>
      </c>
      <c r="D75" s="1919" t="s">
        <v>1461</v>
      </c>
      <c r="E75" s="1913" t="s">
        <v>1252</v>
      </c>
      <c r="F75" s="1914">
        <v>13980000</v>
      </c>
      <c r="G75" s="1914">
        <v>40714</v>
      </c>
      <c r="H75" s="1914">
        <f t="shared" si="0"/>
        <v>50000</v>
      </c>
      <c r="J75" s="1931">
        <f t="shared" si="2"/>
        <v>13980000</v>
      </c>
      <c r="K75" s="1931">
        <f t="shared" si="1"/>
        <v>185362</v>
      </c>
      <c r="L75" s="1931">
        <f t="shared" si="1"/>
        <v>600000</v>
      </c>
    </row>
    <row r="76" spans="1:12">
      <c r="A76" s="1913" t="s">
        <v>1253</v>
      </c>
      <c r="B76" s="1913" t="s">
        <v>1452</v>
      </c>
      <c r="C76" s="1919" t="s">
        <v>1462</v>
      </c>
      <c r="D76" s="1919" t="s">
        <v>1463</v>
      </c>
      <c r="E76" s="1913" t="s">
        <v>1256</v>
      </c>
      <c r="F76" s="1914">
        <v>2249980</v>
      </c>
      <c r="G76" s="1914">
        <v>6748</v>
      </c>
      <c r="H76" s="1914">
        <f t="shared" ref="H76" si="3">+F70-F76</f>
        <v>13890</v>
      </c>
      <c r="J76" s="1931">
        <f t="shared" si="2"/>
        <v>2249980</v>
      </c>
      <c r="K76" s="1931">
        <f t="shared" si="1"/>
        <v>31893</v>
      </c>
      <c r="L76" s="1931">
        <f t="shared" si="1"/>
        <v>166680</v>
      </c>
    </row>
    <row r="77" spans="1:12">
      <c r="A77" s="1922" t="s">
        <v>1464</v>
      </c>
      <c r="B77" s="1922"/>
      <c r="C77" s="1923" t="s">
        <v>1465</v>
      </c>
      <c r="D77" s="1923" t="s">
        <v>1466</v>
      </c>
      <c r="F77" s="1918">
        <f>SUM(F72:F76)</f>
        <v>145315976</v>
      </c>
      <c r="G77" s="1918">
        <f>SUM(G72:G76)</f>
        <v>325277</v>
      </c>
      <c r="H77" s="1918">
        <f>SUM(H72:H76)</f>
        <v>1965562</v>
      </c>
      <c r="J77" s="1933">
        <f>SUM(J72:J76)</f>
        <v>145315976</v>
      </c>
      <c r="K77" s="1933">
        <f t="shared" ref="K77:L77" si="4">SUM(K72:K76)</f>
        <v>2068913.93</v>
      </c>
      <c r="L77" s="1933">
        <f t="shared" si="4"/>
        <v>18492384</v>
      </c>
    </row>
    <row r="78" spans="1:12" outlineLevel="1">
      <c r="A78" s="1913" t="s">
        <v>1243</v>
      </c>
      <c r="B78" s="1913" t="s">
        <v>797</v>
      </c>
      <c r="C78" s="1919" t="s">
        <v>1475</v>
      </c>
      <c r="D78" s="1919" t="s">
        <v>1476</v>
      </c>
      <c r="E78" s="1913" t="s">
        <v>1346</v>
      </c>
      <c r="F78" s="1914">
        <v>21818173</v>
      </c>
      <c r="G78" s="1914">
        <v>91199</v>
      </c>
      <c r="H78" s="1914">
        <f>+F72-F78</f>
        <v>909091</v>
      </c>
    </row>
    <row r="79" spans="1:12" outlineLevel="1">
      <c r="A79" s="1913" t="s">
        <v>1246</v>
      </c>
      <c r="B79" s="1913" t="s">
        <v>1449</v>
      </c>
      <c r="C79" s="1919" t="s">
        <v>1477</v>
      </c>
      <c r="D79" s="1919" t="s">
        <v>1478</v>
      </c>
      <c r="E79" s="1913" t="s">
        <v>1349</v>
      </c>
      <c r="F79" s="1914">
        <v>77630311</v>
      </c>
      <c r="G79" s="1914">
        <v>60494</v>
      </c>
      <c r="H79" s="1914">
        <f>+F73-F79</f>
        <v>426541</v>
      </c>
    </row>
    <row r="80" spans="1:12" outlineLevel="1">
      <c r="A80" s="1913" t="s">
        <v>1372</v>
      </c>
      <c r="B80" s="1913" t="s">
        <v>1450</v>
      </c>
      <c r="C80" s="1919" t="s">
        <v>1458</v>
      </c>
      <c r="D80" s="1919" t="s">
        <v>804</v>
      </c>
      <c r="E80" s="1913" t="s">
        <v>1242</v>
      </c>
      <c r="F80" s="1914">
        <v>28301880</v>
      </c>
      <c r="G80" s="1914">
        <v>0</v>
      </c>
      <c r="H80" s="1914">
        <f>+F74-F80</f>
        <v>0</v>
      </c>
    </row>
    <row r="81" spans="1:8" outlineLevel="1">
      <c r="A81" s="1913" t="s">
        <v>1249</v>
      </c>
      <c r="B81" s="1913" t="s">
        <v>1451</v>
      </c>
      <c r="C81" s="1919" t="s">
        <v>1479</v>
      </c>
      <c r="D81" s="1919" t="s">
        <v>1480</v>
      </c>
      <c r="E81" s="1913" t="s">
        <v>1252</v>
      </c>
      <c r="F81" s="1914">
        <v>13920000</v>
      </c>
      <c r="G81" s="1914">
        <v>7676</v>
      </c>
      <c r="H81" s="1914">
        <f>+F75-F81</f>
        <v>60000</v>
      </c>
    </row>
    <row r="82" spans="1:8" outlineLevel="1">
      <c r="A82" s="1913" t="s">
        <v>1253</v>
      </c>
      <c r="B82" s="1913" t="s">
        <v>1452</v>
      </c>
      <c r="C82" s="1919" t="s">
        <v>1481</v>
      </c>
      <c r="D82" s="1919" t="s">
        <v>1482</v>
      </c>
      <c r="E82" s="1913" t="s">
        <v>1256</v>
      </c>
      <c r="F82" s="1914">
        <v>2236090</v>
      </c>
      <c r="G82" s="1914">
        <v>52487</v>
      </c>
      <c r="H82" s="1914">
        <f>+F76-F82</f>
        <v>13890</v>
      </c>
    </row>
    <row r="83" spans="1:8" outlineLevel="1">
      <c r="A83" s="1920" t="s">
        <v>1483</v>
      </c>
      <c r="B83" s="1920"/>
      <c r="C83" s="1921" t="s">
        <v>1484</v>
      </c>
      <c r="D83" s="1921" t="s">
        <v>1485</v>
      </c>
      <c r="F83" s="1918">
        <f>SUM(F78:F82)</f>
        <v>143906454</v>
      </c>
      <c r="G83" s="1918">
        <f t="shared" ref="G83:H83" si="5">SUM(G78:G82)</f>
        <v>211856</v>
      </c>
      <c r="H83" s="1918">
        <f t="shared" si="5"/>
        <v>1409522</v>
      </c>
    </row>
    <row r="84" spans="1:8" outlineLevel="1">
      <c r="A84" s="1913" t="s">
        <v>1243</v>
      </c>
      <c r="B84" s="1913" t="s">
        <v>797</v>
      </c>
      <c r="C84" s="1919" t="s">
        <v>1486</v>
      </c>
      <c r="D84" s="1919" t="s">
        <v>1487</v>
      </c>
      <c r="E84" s="1913" t="s">
        <v>1346</v>
      </c>
      <c r="F84" s="1914">
        <v>20909082</v>
      </c>
      <c r="G84" s="1914">
        <v>82133</v>
      </c>
      <c r="H84" s="1914">
        <f>+F78-F84</f>
        <v>909091</v>
      </c>
    </row>
    <row r="85" spans="1:8" outlineLevel="1">
      <c r="A85" s="1913" t="s">
        <v>1246</v>
      </c>
      <c r="B85" s="1913" t="s">
        <v>1449</v>
      </c>
      <c r="C85" s="1919" t="s">
        <v>1488</v>
      </c>
      <c r="D85" s="1919" t="s">
        <v>1489</v>
      </c>
      <c r="E85" s="1913" t="s">
        <v>1349</v>
      </c>
      <c r="F85" s="1914">
        <v>77203770</v>
      </c>
      <c r="G85" s="1914">
        <v>54341</v>
      </c>
      <c r="H85" s="1914">
        <f>+F79-F85</f>
        <v>426541</v>
      </c>
    </row>
    <row r="86" spans="1:8" outlineLevel="1">
      <c r="A86" s="1913" t="s">
        <v>1372</v>
      </c>
      <c r="B86" s="1913" t="s">
        <v>1450</v>
      </c>
      <c r="C86" s="1919" t="s">
        <v>1458</v>
      </c>
      <c r="D86" s="1919" t="s">
        <v>804</v>
      </c>
      <c r="E86" s="1913" t="s">
        <v>1242</v>
      </c>
      <c r="F86" s="1914">
        <v>28301880</v>
      </c>
      <c r="G86" s="1914">
        <v>0</v>
      </c>
      <c r="H86" s="1914">
        <f>+F80-F86</f>
        <v>0</v>
      </c>
    </row>
    <row r="87" spans="1:8" outlineLevel="1">
      <c r="A87" s="1913" t="s">
        <v>1249</v>
      </c>
      <c r="B87" s="1913" t="s">
        <v>1451</v>
      </c>
      <c r="C87" s="1919" t="s">
        <v>1490</v>
      </c>
      <c r="D87" s="1919" t="s">
        <v>1491</v>
      </c>
      <c r="E87" s="1913" t="s">
        <v>1252</v>
      </c>
      <c r="F87" s="1914">
        <v>13860000</v>
      </c>
      <c r="G87" s="1914">
        <v>49153</v>
      </c>
      <c r="H87" s="1914">
        <f>+F81-F87</f>
        <v>60000</v>
      </c>
    </row>
    <row r="88" spans="1:8" outlineLevel="1">
      <c r="A88" s="1913" t="s">
        <v>1253</v>
      </c>
      <c r="B88" s="1913" t="s">
        <v>1452</v>
      </c>
      <c r="C88" s="1919" t="s">
        <v>1492</v>
      </c>
      <c r="D88" s="1919" t="s">
        <v>1493</v>
      </c>
      <c r="E88" s="1913" t="s">
        <v>1256</v>
      </c>
      <c r="F88" s="1914">
        <v>2222200</v>
      </c>
      <c r="G88" s="1914">
        <v>8146</v>
      </c>
      <c r="H88" s="1914">
        <f>+F82-F88</f>
        <v>13890</v>
      </c>
    </row>
    <row r="89" spans="1:8" outlineLevel="1">
      <c r="A89" s="1920" t="s">
        <v>1494</v>
      </c>
      <c r="B89" s="1920"/>
      <c r="C89" s="1921" t="s">
        <v>1495</v>
      </c>
      <c r="D89" s="1921" t="s">
        <v>1496</v>
      </c>
      <c r="F89" s="1918">
        <f>SUM(F84:F88)</f>
        <v>142496932</v>
      </c>
      <c r="G89" s="1918">
        <f t="shared" ref="G89:H89" si="6">SUM(G84:G88)</f>
        <v>193773</v>
      </c>
      <c r="H89" s="1918">
        <f t="shared" si="6"/>
        <v>1409522</v>
      </c>
    </row>
    <row r="90" spans="1:8" outlineLevel="1">
      <c r="A90" s="1913" t="s">
        <v>1243</v>
      </c>
      <c r="B90" s="1913" t="s">
        <v>797</v>
      </c>
      <c r="C90" s="1919" t="s">
        <v>1510</v>
      </c>
      <c r="D90" s="1919" t="s">
        <v>1511</v>
      </c>
      <c r="E90" s="1913" t="s">
        <v>1346</v>
      </c>
      <c r="F90" s="1914">
        <v>19999991</v>
      </c>
      <c r="G90" s="1914">
        <v>97227</v>
      </c>
      <c r="H90" s="1914">
        <f>+F84-F90</f>
        <v>909091</v>
      </c>
    </row>
    <row r="91" spans="1:8" outlineLevel="1">
      <c r="A91" s="1913" t="s">
        <v>1246</v>
      </c>
      <c r="B91" s="1913" t="s">
        <v>1449</v>
      </c>
      <c r="C91" s="1919" t="s">
        <v>1512</v>
      </c>
      <c r="D91" s="1919" t="s">
        <v>1513</v>
      </c>
      <c r="E91" s="1913" t="s">
        <v>1349</v>
      </c>
      <c r="F91" s="1914">
        <v>76777229</v>
      </c>
      <c r="G91" s="1914">
        <v>59832</v>
      </c>
      <c r="H91" s="1914">
        <f t="shared" ref="H91:H94" si="7">+F85-F91</f>
        <v>426541</v>
      </c>
    </row>
    <row r="92" spans="1:8" outlineLevel="1">
      <c r="A92" s="1913" t="s">
        <v>1372</v>
      </c>
      <c r="B92" s="1913" t="s">
        <v>1450</v>
      </c>
      <c r="C92" s="1919" t="s">
        <v>1514</v>
      </c>
      <c r="D92" s="1919" t="s">
        <v>1515</v>
      </c>
      <c r="E92" s="1913" t="s">
        <v>1242</v>
      </c>
      <c r="F92" s="1914">
        <v>27735840</v>
      </c>
      <c r="G92" s="1914">
        <v>134905</v>
      </c>
      <c r="H92" s="1914">
        <f t="shared" si="7"/>
        <v>566040</v>
      </c>
    </row>
    <row r="93" spans="1:8" outlineLevel="1">
      <c r="A93" s="1913" t="s">
        <v>1249</v>
      </c>
      <c r="B93" s="1913" t="s">
        <v>1451</v>
      </c>
      <c r="C93" s="1919" t="s">
        <v>1516</v>
      </c>
      <c r="D93" s="1919" t="s">
        <v>1517</v>
      </c>
      <c r="E93" s="1913" t="s">
        <v>1252</v>
      </c>
      <c r="F93" s="1914">
        <v>13800000</v>
      </c>
      <c r="G93" s="1914">
        <v>60868</v>
      </c>
      <c r="H93" s="1914">
        <f t="shared" si="7"/>
        <v>60000</v>
      </c>
    </row>
    <row r="94" spans="1:8" outlineLevel="1">
      <c r="A94" s="1913" t="s">
        <v>1253</v>
      </c>
      <c r="B94" s="1913" t="s">
        <v>1452</v>
      </c>
      <c r="C94" s="1919" t="s">
        <v>1518</v>
      </c>
      <c r="D94" s="1919" t="s">
        <v>1519</v>
      </c>
      <c r="E94" s="1913" t="s">
        <v>1256</v>
      </c>
      <c r="F94" s="1914">
        <v>2208310</v>
      </c>
      <c r="G94" s="1914">
        <v>9795</v>
      </c>
      <c r="H94" s="1914">
        <f t="shared" si="7"/>
        <v>13890</v>
      </c>
    </row>
    <row r="95" spans="1:8" outlineLevel="1">
      <c r="A95" s="1920" t="s">
        <v>1500</v>
      </c>
      <c r="B95" s="1920"/>
      <c r="C95" s="1921" t="s">
        <v>1520</v>
      </c>
      <c r="D95" s="1921" t="s">
        <v>1521</v>
      </c>
      <c r="F95" s="1918">
        <f t="shared" ref="F95:H107" si="8">SUM(F90:F94)</f>
        <v>140521370</v>
      </c>
      <c r="G95" s="1918">
        <f t="shared" si="8"/>
        <v>362627</v>
      </c>
      <c r="H95" s="1918">
        <f t="shared" si="8"/>
        <v>1975562</v>
      </c>
    </row>
    <row r="96" spans="1:8" outlineLevel="1">
      <c r="A96" s="1913" t="s">
        <v>1243</v>
      </c>
      <c r="B96" s="1913" t="s">
        <v>797</v>
      </c>
      <c r="C96" s="1919" t="s">
        <v>1532</v>
      </c>
      <c r="D96" s="1919" t="s">
        <v>1533</v>
      </c>
      <c r="E96" s="1913" t="s">
        <v>1346</v>
      </c>
      <c r="F96" s="1914">
        <v>19090900</v>
      </c>
      <c r="G96" s="1914">
        <v>93666</v>
      </c>
      <c r="H96" s="1914">
        <f t="shared" ref="H96:H100" si="9">+F90-F96</f>
        <v>909091</v>
      </c>
    </row>
    <row r="97" spans="1:8" outlineLevel="1">
      <c r="A97" s="1913" t="s">
        <v>1246</v>
      </c>
      <c r="B97" s="1913" t="s">
        <v>1449</v>
      </c>
      <c r="C97" s="1919" t="s">
        <v>1534</v>
      </c>
      <c r="D97" s="1919" t="s">
        <v>1535</v>
      </c>
      <c r="E97" s="1913" t="s">
        <v>1349</v>
      </c>
      <c r="F97" s="1914">
        <v>76350688</v>
      </c>
      <c r="G97" s="1914">
        <v>57582</v>
      </c>
      <c r="H97" s="1914">
        <f t="shared" si="9"/>
        <v>426541</v>
      </c>
    </row>
    <row r="98" spans="1:8" outlineLevel="1">
      <c r="A98" s="1913" t="s">
        <v>1372</v>
      </c>
      <c r="B98" s="1913" t="s">
        <v>1450</v>
      </c>
      <c r="C98" s="1919" t="s">
        <v>1514</v>
      </c>
      <c r="D98" s="1919" t="s">
        <v>804</v>
      </c>
      <c r="E98" s="1913" t="s">
        <v>1242</v>
      </c>
      <c r="F98" s="1914">
        <v>27735840</v>
      </c>
      <c r="G98" s="1914">
        <v>0</v>
      </c>
      <c r="H98" s="1914">
        <f t="shared" si="9"/>
        <v>0</v>
      </c>
    </row>
    <row r="99" spans="1:8" outlineLevel="1">
      <c r="A99" s="1913" t="s">
        <v>1249</v>
      </c>
      <c r="B99" s="1913" t="s">
        <v>1451</v>
      </c>
      <c r="C99" s="1919" t="s">
        <v>1536</v>
      </c>
      <c r="D99" s="1919" t="s">
        <v>1537</v>
      </c>
      <c r="E99" s="1913" t="s">
        <v>1252</v>
      </c>
      <c r="F99" s="1914">
        <v>13740000</v>
      </c>
      <c r="G99" s="1914">
        <v>61180</v>
      </c>
      <c r="H99" s="1914">
        <f t="shared" si="9"/>
        <v>60000</v>
      </c>
    </row>
    <row r="100" spans="1:8" outlineLevel="1">
      <c r="A100" s="1913" t="s">
        <v>1253</v>
      </c>
      <c r="B100" s="1913" t="s">
        <v>1452</v>
      </c>
      <c r="C100" s="1919" t="s">
        <v>1538</v>
      </c>
      <c r="D100" s="1919" t="s">
        <v>1539</v>
      </c>
      <c r="E100" s="1913" t="s">
        <v>1256</v>
      </c>
      <c r="F100" s="1914">
        <v>2194420</v>
      </c>
      <c r="G100" s="1914">
        <v>9889</v>
      </c>
      <c r="H100" s="1914">
        <f t="shared" si="9"/>
        <v>13890</v>
      </c>
    </row>
    <row r="101" spans="1:8" outlineLevel="1">
      <c r="A101" s="1920" t="s">
        <v>1501</v>
      </c>
      <c r="B101" s="1920"/>
      <c r="C101" s="1921" t="s">
        <v>1540</v>
      </c>
      <c r="D101" s="1921" t="s">
        <v>1541</v>
      </c>
      <c r="F101" s="1918">
        <f t="shared" ref="F101" si="10">SUM(F96:F100)</f>
        <v>139111848</v>
      </c>
      <c r="G101" s="1918">
        <f t="shared" si="8"/>
        <v>222317</v>
      </c>
      <c r="H101" s="1918">
        <f t="shared" si="8"/>
        <v>1409522</v>
      </c>
    </row>
    <row r="102" spans="1:8" outlineLevel="1">
      <c r="A102" s="1913" t="s">
        <v>1243</v>
      </c>
      <c r="B102" s="1913" t="s">
        <v>797</v>
      </c>
      <c r="C102" s="1919" t="s">
        <v>1542</v>
      </c>
      <c r="D102" s="1919" t="s">
        <v>1543</v>
      </c>
      <c r="E102" s="1913" t="s">
        <v>1346</v>
      </c>
      <c r="F102" s="1914">
        <v>18181809</v>
      </c>
      <c r="G102" s="1914">
        <v>99458</v>
      </c>
      <c r="H102" s="1914">
        <f>+F96-F102</f>
        <v>909091</v>
      </c>
    </row>
    <row r="103" spans="1:8" outlineLevel="1">
      <c r="A103" s="1913" t="s">
        <v>1246</v>
      </c>
      <c r="B103" s="1913" t="s">
        <v>1449</v>
      </c>
      <c r="C103" s="1919" t="s">
        <v>1544</v>
      </c>
      <c r="D103" s="1919" t="s">
        <v>1545</v>
      </c>
      <c r="E103" s="1913" t="s">
        <v>1349</v>
      </c>
      <c r="F103" s="1914">
        <v>75924147</v>
      </c>
      <c r="G103" s="1914">
        <v>59171</v>
      </c>
      <c r="H103" s="1914">
        <f t="shared" ref="H103:H106" si="11">+F97-F103</f>
        <v>426541</v>
      </c>
    </row>
    <row r="104" spans="1:8" outlineLevel="1">
      <c r="A104" s="1913" t="s">
        <v>1372</v>
      </c>
      <c r="B104" s="1913" t="s">
        <v>1450</v>
      </c>
      <c r="C104" s="1919" t="s">
        <v>1514</v>
      </c>
      <c r="D104" s="1919" t="s">
        <v>804</v>
      </c>
      <c r="E104" s="1913" t="s">
        <v>1242</v>
      </c>
      <c r="F104" s="1914">
        <v>27735840</v>
      </c>
      <c r="G104" s="1914">
        <v>0</v>
      </c>
      <c r="H104" s="1914">
        <f t="shared" si="11"/>
        <v>0</v>
      </c>
    </row>
    <row r="105" spans="1:8" outlineLevel="1">
      <c r="A105" s="1913" t="s">
        <v>1249</v>
      </c>
      <c r="B105" s="1913" t="s">
        <v>1451</v>
      </c>
      <c r="C105" s="1919" t="s">
        <v>1546</v>
      </c>
      <c r="D105" s="1919" t="s">
        <v>1547</v>
      </c>
      <c r="E105" s="1913" t="s">
        <v>1252</v>
      </c>
      <c r="F105" s="1914">
        <v>13680000</v>
      </c>
      <c r="G105" s="1914">
        <v>68032</v>
      </c>
      <c r="H105" s="1914">
        <f t="shared" si="11"/>
        <v>60000</v>
      </c>
    </row>
    <row r="106" spans="1:8" outlineLevel="1">
      <c r="A106" s="1913" t="s">
        <v>1253</v>
      </c>
      <c r="B106" s="1913" t="s">
        <v>1452</v>
      </c>
      <c r="C106" s="1919" t="s">
        <v>1548</v>
      </c>
      <c r="D106" s="1919" t="s">
        <v>1549</v>
      </c>
      <c r="E106" s="1913" t="s">
        <v>1256</v>
      </c>
      <c r="F106" s="1914">
        <v>2180530</v>
      </c>
      <c r="G106" s="1914">
        <v>11296</v>
      </c>
      <c r="H106" s="1914">
        <f t="shared" si="11"/>
        <v>13890</v>
      </c>
    </row>
    <row r="107" spans="1:8" outlineLevel="1">
      <c r="A107" s="1920" t="s">
        <v>1502</v>
      </c>
      <c r="B107" s="1920"/>
      <c r="C107" s="1921" t="s">
        <v>1550</v>
      </c>
      <c r="D107" s="1921" t="s">
        <v>1551</v>
      </c>
      <c r="F107" s="1918">
        <f t="shared" ref="F107" si="12">SUM(F102:F106)</f>
        <v>137702326</v>
      </c>
      <c r="G107" s="1918">
        <f t="shared" si="8"/>
        <v>237957</v>
      </c>
      <c r="H107" s="1918">
        <f t="shared" si="8"/>
        <v>1409522</v>
      </c>
    </row>
    <row r="108" spans="1:8" outlineLevel="1">
      <c r="A108" s="1913" t="s">
        <v>1243</v>
      </c>
      <c r="B108" s="1913" t="s">
        <v>797</v>
      </c>
      <c r="C108" s="1919" t="s">
        <v>1563</v>
      </c>
      <c r="D108" s="1919" t="s">
        <v>1564</v>
      </c>
      <c r="E108" s="1913" t="s">
        <v>1346</v>
      </c>
      <c r="F108" s="1914">
        <v>17272718</v>
      </c>
      <c r="G108" s="1914">
        <v>101212</v>
      </c>
      <c r="H108" s="1914">
        <f>+F102-F108</f>
        <v>909091</v>
      </c>
    </row>
    <row r="109" spans="1:8" outlineLevel="1">
      <c r="A109" s="1913" t="s">
        <v>1246</v>
      </c>
      <c r="B109" s="1913" t="s">
        <v>1449</v>
      </c>
      <c r="C109" s="1919" t="s">
        <v>1565</v>
      </c>
      <c r="D109" s="1919" t="s">
        <v>1566</v>
      </c>
      <c r="E109" s="1913" t="s">
        <v>1349</v>
      </c>
      <c r="F109" s="1914">
        <v>75497606</v>
      </c>
      <c r="G109" s="1914">
        <v>56943</v>
      </c>
      <c r="H109" s="1914">
        <f t="shared" ref="H109:H112" si="13">+F103-F109</f>
        <v>426541</v>
      </c>
    </row>
    <row r="110" spans="1:8" outlineLevel="1">
      <c r="A110" s="1913" t="s">
        <v>1372</v>
      </c>
      <c r="B110" s="1913" t="s">
        <v>1450</v>
      </c>
      <c r="C110" s="1919" t="s">
        <v>1567</v>
      </c>
      <c r="D110" s="1919" t="s">
        <v>1568</v>
      </c>
      <c r="E110" s="1913" t="s">
        <v>1242</v>
      </c>
      <c r="F110" s="1914">
        <v>27169800</v>
      </c>
      <c r="G110" s="1914">
        <v>141221</v>
      </c>
      <c r="H110" s="1914">
        <f t="shared" si="13"/>
        <v>566040</v>
      </c>
    </row>
    <row r="111" spans="1:8" outlineLevel="1">
      <c r="A111" s="1913" t="s">
        <v>1249</v>
      </c>
      <c r="B111" s="1913" t="s">
        <v>1451</v>
      </c>
      <c r="C111" s="1919" t="s">
        <v>1569</v>
      </c>
      <c r="D111" s="1919" t="s">
        <v>1570</v>
      </c>
      <c r="E111" s="1913" t="s">
        <v>1252</v>
      </c>
      <c r="F111" s="1914">
        <v>13620000</v>
      </c>
      <c r="G111" s="1914">
        <v>72732</v>
      </c>
      <c r="H111" s="1914">
        <f t="shared" si="13"/>
        <v>60000</v>
      </c>
    </row>
    <row r="112" spans="1:8" outlineLevel="1">
      <c r="A112" s="1913" t="s">
        <v>1253</v>
      </c>
      <c r="B112" s="1913" t="s">
        <v>1452</v>
      </c>
      <c r="C112" s="1919" t="s">
        <v>1571</v>
      </c>
      <c r="D112" s="1919" t="s">
        <v>1572</v>
      </c>
      <c r="E112" s="1913" t="s">
        <v>1256</v>
      </c>
      <c r="F112" s="1914">
        <v>2166640</v>
      </c>
      <c r="G112" s="1914">
        <v>11776</v>
      </c>
      <c r="H112" s="1914">
        <f t="shared" si="13"/>
        <v>13890</v>
      </c>
    </row>
    <row r="113" spans="1:8" outlineLevel="1">
      <c r="A113" s="1920" t="s">
        <v>1503</v>
      </c>
      <c r="B113" s="1920"/>
      <c r="C113" s="1921" t="s">
        <v>1573</v>
      </c>
      <c r="D113" s="1921" t="s">
        <v>1574</v>
      </c>
      <c r="F113" s="1918">
        <f t="shared" ref="F113:H125" si="14">SUM(F108:F112)</f>
        <v>135726764</v>
      </c>
      <c r="G113" s="1918">
        <f t="shared" si="14"/>
        <v>383884</v>
      </c>
      <c r="H113" s="1918">
        <f t="shared" si="14"/>
        <v>1975562</v>
      </c>
    </row>
    <row r="114" spans="1:8" outlineLevel="1">
      <c r="A114" s="1913" t="s">
        <v>1243</v>
      </c>
      <c r="B114" s="1913" t="s">
        <v>797</v>
      </c>
      <c r="C114" s="1919" t="s">
        <v>1983</v>
      </c>
      <c r="D114" s="1919" t="s">
        <v>1984</v>
      </c>
      <c r="E114" s="1913" t="s">
        <v>1346</v>
      </c>
      <c r="F114" s="1914">
        <v>16363627</v>
      </c>
      <c r="G114" s="1914">
        <v>117651</v>
      </c>
      <c r="H114" s="1914">
        <f>+F108-F114</f>
        <v>909091</v>
      </c>
    </row>
    <row r="115" spans="1:8" outlineLevel="1">
      <c r="A115" s="1913" t="s">
        <v>1246</v>
      </c>
      <c r="B115" s="1913" t="s">
        <v>1449</v>
      </c>
      <c r="C115" s="1919" t="s">
        <v>1985</v>
      </c>
      <c r="D115" s="1919" t="s">
        <v>1986</v>
      </c>
      <c r="E115" s="1913" t="s">
        <v>1349</v>
      </c>
      <c r="F115" s="1914">
        <v>75071065</v>
      </c>
      <c r="G115" s="1914">
        <v>58510</v>
      </c>
      <c r="H115" s="1914">
        <f t="shared" ref="H115:H118" si="15">+F109-F115</f>
        <v>426541</v>
      </c>
    </row>
    <row r="116" spans="1:8" outlineLevel="1">
      <c r="A116" s="1913" t="s">
        <v>1372</v>
      </c>
      <c r="B116" s="1913" t="s">
        <v>1450</v>
      </c>
      <c r="C116" s="1919" t="s">
        <v>1567</v>
      </c>
      <c r="D116" s="1919" t="s">
        <v>804</v>
      </c>
      <c r="E116" s="1913" t="s">
        <v>1242</v>
      </c>
      <c r="F116" s="1914">
        <v>27169800</v>
      </c>
      <c r="G116" s="1914">
        <v>0</v>
      </c>
      <c r="H116" s="1914">
        <f t="shared" si="15"/>
        <v>0</v>
      </c>
    </row>
    <row r="117" spans="1:8" outlineLevel="1">
      <c r="A117" s="1913" t="s">
        <v>1249</v>
      </c>
      <c r="B117" s="1913" t="s">
        <v>1451</v>
      </c>
      <c r="C117" s="1919" t="s">
        <v>1987</v>
      </c>
      <c r="D117" s="1919" t="s">
        <v>1988</v>
      </c>
      <c r="E117" s="1913" t="s">
        <v>1252</v>
      </c>
      <c r="F117" s="1914">
        <v>13560000</v>
      </c>
      <c r="G117" s="1914">
        <v>89252</v>
      </c>
      <c r="H117" s="1914">
        <f t="shared" si="15"/>
        <v>60000</v>
      </c>
    </row>
    <row r="118" spans="1:8" outlineLevel="1">
      <c r="A118" s="1913" t="s">
        <v>1253</v>
      </c>
      <c r="B118" s="1913" t="s">
        <v>1452</v>
      </c>
      <c r="C118" s="1919" t="s">
        <v>1989</v>
      </c>
      <c r="D118" s="1919" t="s">
        <v>1990</v>
      </c>
      <c r="E118" s="1913" t="s">
        <v>1256</v>
      </c>
      <c r="F118" s="1914">
        <v>2152750</v>
      </c>
      <c r="G118" s="1914">
        <v>13281</v>
      </c>
      <c r="H118" s="1914">
        <f t="shared" si="15"/>
        <v>13890</v>
      </c>
    </row>
    <row r="119" spans="1:8" outlineLevel="1">
      <c r="A119" s="1920" t="s">
        <v>1504</v>
      </c>
      <c r="B119" s="1920"/>
      <c r="C119" s="1921" t="s">
        <v>1991</v>
      </c>
      <c r="D119" s="1921" t="s">
        <v>1992</v>
      </c>
      <c r="F119" s="1918">
        <f t="shared" ref="F119" si="16">SUM(F114:F118)</f>
        <v>134317242</v>
      </c>
      <c r="G119" s="1918">
        <f t="shared" si="14"/>
        <v>278694</v>
      </c>
      <c r="H119" s="1918">
        <f t="shared" si="14"/>
        <v>1409522</v>
      </c>
    </row>
    <row r="120" spans="1:8" outlineLevel="1">
      <c r="A120" s="1913" t="s">
        <v>1243</v>
      </c>
      <c r="B120" s="1913" t="s">
        <v>797</v>
      </c>
      <c r="C120" s="1919" t="s">
        <v>1993</v>
      </c>
      <c r="D120" s="1919" t="s">
        <v>1994</v>
      </c>
      <c r="E120" s="1913" t="s">
        <v>1346</v>
      </c>
      <c r="F120" s="1914">
        <v>15454536</v>
      </c>
      <c r="G120" s="1914">
        <v>112163</v>
      </c>
      <c r="H120" s="1914">
        <f>+F114-F120</f>
        <v>909091</v>
      </c>
    </row>
    <row r="121" spans="1:8" outlineLevel="1">
      <c r="A121" s="1913" t="s">
        <v>1246</v>
      </c>
      <c r="B121" s="1913" t="s">
        <v>1449</v>
      </c>
      <c r="C121" s="1919" t="s">
        <v>1995</v>
      </c>
      <c r="D121" s="1919" t="s">
        <v>1996</v>
      </c>
      <c r="E121" s="1913" t="s">
        <v>1349</v>
      </c>
      <c r="F121" s="1914">
        <v>74644524</v>
      </c>
      <c r="G121" s="1914">
        <v>58180</v>
      </c>
      <c r="H121" s="1914">
        <f t="shared" ref="H121:H124" si="17">+F115-F121</f>
        <v>426541</v>
      </c>
    </row>
    <row r="122" spans="1:8" outlineLevel="1">
      <c r="A122" s="1913" t="s">
        <v>1372</v>
      </c>
      <c r="B122" s="1913" t="s">
        <v>1450</v>
      </c>
      <c r="C122" s="1919" t="s">
        <v>1567</v>
      </c>
      <c r="D122" s="1919" t="s">
        <v>804</v>
      </c>
      <c r="E122" s="1913" t="s">
        <v>1242</v>
      </c>
      <c r="F122" s="1914">
        <v>27169800</v>
      </c>
      <c r="G122" s="1914">
        <v>0</v>
      </c>
      <c r="H122" s="1914">
        <f t="shared" si="17"/>
        <v>0</v>
      </c>
    </row>
    <row r="123" spans="1:8" outlineLevel="1">
      <c r="A123" s="1913" t="s">
        <v>1249</v>
      </c>
      <c r="B123" s="1913" t="s">
        <v>1451</v>
      </c>
      <c r="C123" s="1919" t="s">
        <v>1997</v>
      </c>
      <c r="D123" s="1919" t="s">
        <v>1998</v>
      </c>
      <c r="E123" s="1913" t="s">
        <v>1252</v>
      </c>
      <c r="F123" s="1914">
        <v>13500000</v>
      </c>
      <c r="G123" s="1914">
        <v>89443</v>
      </c>
      <c r="H123" s="1914">
        <f t="shared" si="17"/>
        <v>60000</v>
      </c>
    </row>
    <row r="124" spans="1:8" outlineLevel="1">
      <c r="A124" s="1913" t="s">
        <v>1253</v>
      </c>
      <c r="B124" s="1913" t="s">
        <v>1452</v>
      </c>
      <c r="C124" s="1919" t="s">
        <v>1999</v>
      </c>
      <c r="D124" s="1919" t="s">
        <v>2000</v>
      </c>
      <c r="E124" s="1913" t="s">
        <v>1256</v>
      </c>
      <c r="F124" s="1914">
        <v>2138860</v>
      </c>
      <c r="G124" s="1914">
        <v>14144</v>
      </c>
      <c r="H124" s="1914">
        <f t="shared" si="17"/>
        <v>13890</v>
      </c>
    </row>
    <row r="125" spans="1:8" outlineLevel="1">
      <c r="A125" s="1920" t="s">
        <v>1505</v>
      </c>
      <c r="B125" s="1920"/>
      <c r="C125" s="1921" t="s">
        <v>2001</v>
      </c>
      <c r="D125" s="1921" t="s">
        <v>2002</v>
      </c>
      <c r="F125" s="1918">
        <f t="shared" ref="F125" si="18">SUM(F120:F124)</f>
        <v>132907720</v>
      </c>
      <c r="G125" s="1918">
        <f t="shared" si="14"/>
        <v>273930</v>
      </c>
      <c r="H125" s="1918">
        <f t="shared" si="14"/>
        <v>1409522</v>
      </c>
    </row>
    <row r="126" spans="1:8" outlineLevel="1">
      <c r="A126" s="1913" t="s">
        <v>1243</v>
      </c>
      <c r="B126" s="1913" t="s">
        <v>797</v>
      </c>
      <c r="C126" s="1919" t="s">
        <v>2003</v>
      </c>
      <c r="D126" s="1919" t="s">
        <v>2004</v>
      </c>
      <c r="E126" s="1913" t="s">
        <v>1346</v>
      </c>
      <c r="F126" s="1914">
        <v>14545445</v>
      </c>
      <c r="G126" s="1914">
        <v>101999</v>
      </c>
      <c r="H126" s="1914">
        <f>+F120-F126</f>
        <v>909091</v>
      </c>
    </row>
    <row r="127" spans="1:8" outlineLevel="1">
      <c r="A127" s="1913" t="s">
        <v>1246</v>
      </c>
      <c r="B127" s="1913" t="s">
        <v>1449</v>
      </c>
      <c r="C127" s="1919" t="s">
        <v>2005</v>
      </c>
      <c r="D127" s="1919" t="s">
        <v>2006</v>
      </c>
      <c r="E127" s="1913" t="s">
        <v>1349</v>
      </c>
      <c r="F127" s="1914">
        <v>74217983</v>
      </c>
      <c r="G127" s="1914">
        <v>55983</v>
      </c>
      <c r="H127" s="1914">
        <f t="shared" ref="H127:H130" si="19">+F121-F127</f>
        <v>426541</v>
      </c>
    </row>
    <row r="128" spans="1:8" outlineLevel="1">
      <c r="A128" s="1913" t="s">
        <v>1372</v>
      </c>
      <c r="B128" s="1913" t="s">
        <v>1450</v>
      </c>
      <c r="C128" s="1919" t="s">
        <v>2007</v>
      </c>
      <c r="D128" s="1919" t="s">
        <v>2008</v>
      </c>
      <c r="E128" s="1913" t="s">
        <v>1242</v>
      </c>
      <c r="F128" s="1914">
        <v>26603760</v>
      </c>
      <c r="G128" s="1914">
        <v>133924</v>
      </c>
      <c r="H128" s="1914">
        <f t="shared" si="19"/>
        <v>566040</v>
      </c>
    </row>
    <row r="129" spans="1:12" outlineLevel="1">
      <c r="A129" s="1913" t="s">
        <v>1249</v>
      </c>
      <c r="B129" s="1913" t="s">
        <v>1451</v>
      </c>
      <c r="C129" s="1919" t="s">
        <v>2009</v>
      </c>
      <c r="D129" s="1919" t="s">
        <v>2010</v>
      </c>
      <c r="E129" s="1913" t="s">
        <v>1252</v>
      </c>
      <c r="F129" s="1914">
        <v>13440000</v>
      </c>
      <c r="G129" s="1914">
        <v>85725</v>
      </c>
      <c r="H129" s="1914">
        <f t="shared" si="19"/>
        <v>60000</v>
      </c>
    </row>
    <row r="130" spans="1:12" outlineLevel="1">
      <c r="A130" s="1913" t="s">
        <v>1253</v>
      </c>
      <c r="B130" s="1913" t="s">
        <v>1452</v>
      </c>
      <c r="C130" s="1919" t="s">
        <v>2011</v>
      </c>
      <c r="D130" s="1919" t="s">
        <v>2012</v>
      </c>
      <c r="E130" s="1913" t="s">
        <v>1256</v>
      </c>
      <c r="F130" s="1914">
        <v>2124970</v>
      </c>
      <c r="G130" s="1914">
        <v>13581</v>
      </c>
      <c r="H130" s="1914">
        <f t="shared" si="19"/>
        <v>13890</v>
      </c>
    </row>
    <row r="131" spans="1:12" outlineLevel="1">
      <c r="A131" s="1920" t="s">
        <v>1506</v>
      </c>
      <c r="B131" s="1920"/>
      <c r="C131" s="1921" t="s">
        <v>2013</v>
      </c>
      <c r="D131" s="1921" t="s">
        <v>2014</v>
      </c>
      <c r="F131" s="1918">
        <f t="shared" ref="F131:H143" si="20">SUM(F126:F130)</f>
        <v>130932158</v>
      </c>
      <c r="G131" s="1918">
        <f t="shared" si="20"/>
        <v>391212</v>
      </c>
      <c r="H131" s="1918">
        <f t="shared" si="20"/>
        <v>1975562</v>
      </c>
    </row>
    <row r="132" spans="1:12" outlineLevel="1">
      <c r="A132" s="1913" t="s">
        <v>1243</v>
      </c>
      <c r="B132" s="1913" t="s">
        <v>797</v>
      </c>
      <c r="C132" s="1919" t="s">
        <v>2015</v>
      </c>
      <c r="D132" s="1919" t="s">
        <v>2016</v>
      </c>
      <c r="E132" s="1913" t="s">
        <v>1346</v>
      </c>
      <c r="F132" s="1914">
        <v>13636354</v>
      </c>
      <c r="G132" s="1914">
        <v>99074</v>
      </c>
      <c r="H132" s="1914">
        <f>+F126-F132</f>
        <v>909091</v>
      </c>
    </row>
    <row r="133" spans="1:12" outlineLevel="1">
      <c r="A133" s="1913" t="s">
        <v>1246</v>
      </c>
      <c r="B133" s="1913" t="s">
        <v>1449</v>
      </c>
      <c r="C133" s="1919" t="s">
        <v>2017</v>
      </c>
      <c r="D133" s="1919" t="s">
        <v>2018</v>
      </c>
      <c r="E133" s="1913" t="s">
        <v>1349</v>
      </c>
      <c r="F133" s="1914">
        <v>73791442</v>
      </c>
      <c r="G133" s="1914">
        <v>57518</v>
      </c>
      <c r="H133" s="1914">
        <f t="shared" ref="H133:H136" si="21">+F127-F133</f>
        <v>426541</v>
      </c>
    </row>
    <row r="134" spans="1:12" outlineLevel="1">
      <c r="A134" s="1913" t="s">
        <v>1372</v>
      </c>
      <c r="B134" s="1913" t="s">
        <v>1450</v>
      </c>
      <c r="C134" s="1919" t="s">
        <v>2007</v>
      </c>
      <c r="D134" s="1919" t="s">
        <v>804</v>
      </c>
      <c r="E134" s="1913" t="s">
        <v>1242</v>
      </c>
      <c r="F134" s="1914">
        <v>26603760</v>
      </c>
      <c r="G134" s="1914">
        <v>0</v>
      </c>
      <c r="H134" s="1914">
        <f t="shared" si="21"/>
        <v>0</v>
      </c>
    </row>
    <row r="135" spans="1:12" outlineLevel="1">
      <c r="A135" s="1913" t="s">
        <v>1249</v>
      </c>
      <c r="B135" s="1913" t="s">
        <v>1451</v>
      </c>
      <c r="C135" s="1919" t="s">
        <v>2019</v>
      </c>
      <c r="D135" s="1919" t="s">
        <v>2020</v>
      </c>
      <c r="E135" s="1913" t="s">
        <v>1252</v>
      </c>
      <c r="F135" s="1914">
        <v>13380000</v>
      </c>
      <c r="G135" s="1914">
        <v>88073</v>
      </c>
      <c r="H135" s="1914">
        <f t="shared" si="21"/>
        <v>60000</v>
      </c>
    </row>
    <row r="136" spans="1:12" outlineLevel="1">
      <c r="A136" s="1913" t="s">
        <v>1253</v>
      </c>
      <c r="B136" s="1913" t="s">
        <v>1452</v>
      </c>
      <c r="C136" s="1919" t="s">
        <v>2021</v>
      </c>
      <c r="D136" s="1919" t="s">
        <v>2022</v>
      </c>
      <c r="E136" s="1913" t="s">
        <v>1256</v>
      </c>
      <c r="F136" s="1914">
        <v>2111080</v>
      </c>
      <c r="G136" s="1914">
        <v>13943</v>
      </c>
      <c r="H136" s="1914">
        <f t="shared" si="21"/>
        <v>13890</v>
      </c>
    </row>
    <row r="137" spans="1:12" outlineLevel="1">
      <c r="A137" s="1920" t="s">
        <v>1507</v>
      </c>
      <c r="B137" s="1920"/>
      <c r="C137" s="1921" t="s">
        <v>2023</v>
      </c>
      <c r="D137" s="1921" t="s">
        <v>2024</v>
      </c>
      <c r="F137" s="1918">
        <f t="shared" ref="F137" si="22">SUM(F132:F136)</f>
        <v>129522636</v>
      </c>
      <c r="G137" s="1918">
        <f t="shared" si="20"/>
        <v>258608</v>
      </c>
      <c r="H137" s="1918">
        <f t="shared" si="20"/>
        <v>1409522</v>
      </c>
    </row>
    <row r="138" spans="1:12" outlineLevel="1">
      <c r="A138" s="1913" t="s">
        <v>1243</v>
      </c>
      <c r="B138" s="1913" t="s">
        <v>797</v>
      </c>
      <c r="C138" s="1919" t="s">
        <v>2025</v>
      </c>
      <c r="D138" s="1919" t="s">
        <v>2026</v>
      </c>
      <c r="E138" s="1913" t="s">
        <v>1346</v>
      </c>
      <c r="F138" s="1914">
        <v>12727263</v>
      </c>
      <c r="G138" s="1914">
        <v>90340</v>
      </c>
      <c r="H138" s="1914">
        <f>+F132-F138</f>
        <v>909091</v>
      </c>
    </row>
    <row r="139" spans="1:12" outlineLevel="1">
      <c r="A139" s="1913" t="s">
        <v>1246</v>
      </c>
      <c r="B139" s="1913" t="s">
        <v>1449</v>
      </c>
      <c r="C139" s="1919" t="s">
        <v>2027</v>
      </c>
      <c r="D139" s="1919" t="s">
        <v>2028</v>
      </c>
      <c r="E139" s="1913" t="s">
        <v>1349</v>
      </c>
      <c r="F139" s="1914">
        <v>73364901</v>
      </c>
      <c r="G139" s="1914">
        <v>55343</v>
      </c>
      <c r="H139" s="1914">
        <f t="shared" ref="H139:H142" si="23">+F133-F139</f>
        <v>426541</v>
      </c>
    </row>
    <row r="140" spans="1:12" outlineLevel="1">
      <c r="A140" s="1913" t="s">
        <v>1372</v>
      </c>
      <c r="B140" s="1913" t="s">
        <v>1450</v>
      </c>
      <c r="C140" s="1919" t="s">
        <v>2007</v>
      </c>
      <c r="D140" s="1919" t="s">
        <v>804</v>
      </c>
      <c r="E140" s="1913" t="s">
        <v>1242</v>
      </c>
      <c r="F140" s="1914">
        <v>26603760</v>
      </c>
      <c r="G140" s="1914">
        <v>0</v>
      </c>
      <c r="H140" s="1914">
        <f t="shared" si="23"/>
        <v>0</v>
      </c>
    </row>
    <row r="141" spans="1:12" outlineLevel="1">
      <c r="A141" s="1913" t="s">
        <v>1249</v>
      </c>
      <c r="B141" s="1913" t="s">
        <v>1451</v>
      </c>
      <c r="C141" s="1919" t="s">
        <v>2029</v>
      </c>
      <c r="D141" s="1919" t="s">
        <v>2030</v>
      </c>
      <c r="E141" s="1913" t="s">
        <v>1252</v>
      </c>
      <c r="F141" s="1914">
        <v>13320000</v>
      </c>
      <c r="G141" s="1914">
        <v>85297</v>
      </c>
      <c r="H141" s="1914">
        <f t="shared" si="23"/>
        <v>60000</v>
      </c>
    </row>
    <row r="142" spans="1:12" outlineLevel="1">
      <c r="A142" s="1913" t="s">
        <v>1253</v>
      </c>
      <c r="B142" s="1913" t="s">
        <v>1452</v>
      </c>
      <c r="C142" s="1919" t="s">
        <v>2031</v>
      </c>
      <c r="D142" s="1919" t="s">
        <v>2032</v>
      </c>
      <c r="E142" s="1913" t="s">
        <v>1256</v>
      </c>
      <c r="F142" s="1914">
        <v>2097190</v>
      </c>
      <c r="G142" s="1914">
        <v>15602</v>
      </c>
      <c r="H142" s="1914">
        <f t="shared" si="23"/>
        <v>13890</v>
      </c>
    </row>
    <row r="143" spans="1:12" outlineLevel="1">
      <c r="A143" s="1920" t="s">
        <v>1508</v>
      </c>
      <c r="B143" s="1920"/>
      <c r="C143" s="1921" t="s">
        <v>2033</v>
      </c>
      <c r="D143" s="1921" t="s">
        <v>2034</v>
      </c>
      <c r="F143" s="1918">
        <f t="shared" ref="F143" si="24">SUM(F138:F142)</f>
        <v>128113114</v>
      </c>
      <c r="G143" s="1918">
        <f t="shared" si="20"/>
        <v>246582</v>
      </c>
      <c r="H143" s="1918">
        <f t="shared" si="20"/>
        <v>1409522</v>
      </c>
    </row>
    <row r="144" spans="1:12">
      <c r="A144" s="1913" t="s">
        <v>1243</v>
      </c>
      <c r="B144" s="1913" t="s">
        <v>797</v>
      </c>
      <c r="C144" s="1919" t="s">
        <v>2035</v>
      </c>
      <c r="D144" s="1919" t="s">
        <v>2036</v>
      </c>
      <c r="E144" s="1913" t="s">
        <v>1346</v>
      </c>
      <c r="F144" s="1914">
        <v>11818172</v>
      </c>
      <c r="G144" s="1914">
        <v>86580</v>
      </c>
      <c r="H144" s="1914">
        <f>+F138-F144</f>
        <v>909091</v>
      </c>
      <c r="J144" s="1931">
        <f>+F144</f>
        <v>11818172</v>
      </c>
      <c r="K144" s="1931">
        <f t="shared" ref="K144:L148" si="25">+G144+G138+G132+G126+G120+G114+G108+G102+G96+G90+G84+G78</f>
        <v>1172702</v>
      </c>
      <c r="L144" s="1931">
        <f t="shared" si="25"/>
        <v>10909092</v>
      </c>
    </row>
    <row r="145" spans="1:12">
      <c r="A145" s="1913" t="s">
        <v>1246</v>
      </c>
      <c r="B145" s="1913" t="s">
        <v>1449</v>
      </c>
      <c r="C145" s="1919" t="s">
        <v>2037</v>
      </c>
      <c r="D145" s="1919" t="s">
        <v>2038</v>
      </c>
      <c r="E145" s="1913" t="s">
        <v>1349</v>
      </c>
      <c r="F145" s="1914">
        <v>72938360</v>
      </c>
      <c r="G145" s="1914">
        <v>56857</v>
      </c>
      <c r="H145" s="1914">
        <f t="shared" ref="H145:H148" si="26">+F139-F145</f>
        <v>426541</v>
      </c>
      <c r="J145" s="1931">
        <f t="shared" ref="J145:J148" si="27">+F145</f>
        <v>72938360</v>
      </c>
      <c r="K145" s="1931">
        <f t="shared" si="25"/>
        <v>690754</v>
      </c>
      <c r="L145" s="1931">
        <f t="shared" si="25"/>
        <v>5118492</v>
      </c>
    </row>
    <row r="146" spans="1:12">
      <c r="A146" s="1913" t="s">
        <v>1372</v>
      </c>
      <c r="B146" s="1913" t="s">
        <v>1450</v>
      </c>
      <c r="C146" s="1919" t="s">
        <v>2039</v>
      </c>
      <c r="D146" s="1919" t="s">
        <v>2040</v>
      </c>
      <c r="E146" s="1913" t="s">
        <v>1242</v>
      </c>
      <c r="F146" s="1914">
        <v>26037720</v>
      </c>
      <c r="G146" s="1914">
        <v>132575</v>
      </c>
      <c r="H146" s="1914">
        <f t="shared" si="26"/>
        <v>566040</v>
      </c>
      <c r="J146" s="1931">
        <f t="shared" si="27"/>
        <v>26037720</v>
      </c>
      <c r="K146" s="1931">
        <f t="shared" si="25"/>
        <v>542625</v>
      </c>
      <c r="L146" s="1931">
        <f t="shared" si="25"/>
        <v>2264160</v>
      </c>
    </row>
    <row r="147" spans="1:12">
      <c r="A147" s="1913" t="s">
        <v>1249</v>
      </c>
      <c r="B147" s="1913" t="s">
        <v>1451</v>
      </c>
      <c r="C147" s="1919" t="s">
        <v>2041</v>
      </c>
      <c r="D147" s="1919" t="s">
        <v>2042</v>
      </c>
      <c r="E147" s="1913" t="s">
        <v>1252</v>
      </c>
      <c r="F147" s="1914">
        <v>13260000</v>
      </c>
      <c r="G147" s="1914">
        <v>87172</v>
      </c>
      <c r="H147" s="1914">
        <f t="shared" si="26"/>
        <v>60000</v>
      </c>
      <c r="J147" s="1931">
        <f t="shared" si="27"/>
        <v>13260000</v>
      </c>
      <c r="K147" s="1931">
        <f t="shared" si="25"/>
        <v>844603</v>
      </c>
      <c r="L147" s="1931">
        <f t="shared" si="25"/>
        <v>720000</v>
      </c>
    </row>
    <row r="148" spans="1:12">
      <c r="A148" s="1913" t="s">
        <v>1253</v>
      </c>
      <c r="B148" s="1913" t="s">
        <v>1452</v>
      </c>
      <c r="C148" s="1919" t="s">
        <v>2043</v>
      </c>
      <c r="D148" s="1919" t="s">
        <v>2044</v>
      </c>
      <c r="E148" s="1913" t="s">
        <v>1256</v>
      </c>
      <c r="F148" s="1914">
        <v>2083300</v>
      </c>
      <c r="G148" s="1914">
        <v>13743</v>
      </c>
      <c r="H148" s="1914">
        <f t="shared" si="26"/>
        <v>13890</v>
      </c>
      <c r="J148" s="1931">
        <f t="shared" si="27"/>
        <v>2083300</v>
      </c>
      <c r="K148" s="1931">
        <f t="shared" si="25"/>
        <v>187683</v>
      </c>
      <c r="L148" s="1931">
        <f t="shared" si="25"/>
        <v>166680</v>
      </c>
    </row>
    <row r="149" spans="1:12">
      <c r="A149" s="1922" t="s">
        <v>1509</v>
      </c>
      <c r="B149" s="1922"/>
      <c r="C149" s="1923" t="s">
        <v>2045</v>
      </c>
      <c r="D149" s="1923" t="s">
        <v>2046</v>
      </c>
      <c r="F149" s="1918">
        <f t="shared" ref="F149:H149" si="28">SUM(F144:F148)</f>
        <v>126137552</v>
      </c>
      <c r="G149" s="1918">
        <f t="shared" si="28"/>
        <v>376927</v>
      </c>
      <c r="H149" s="1918">
        <f t="shared" si="28"/>
        <v>1975562</v>
      </c>
      <c r="J149" s="1933">
        <f>SUM(J144:J148)</f>
        <v>126137552</v>
      </c>
      <c r="K149" s="1933">
        <f t="shared" ref="K149:L149" si="29">SUM(K144:K148)</f>
        <v>3438367</v>
      </c>
      <c r="L149" s="1933">
        <f t="shared" si="29"/>
        <v>19178424</v>
      </c>
    </row>
    <row r="150" spans="1:12" outlineLevel="1">
      <c r="A150" s="1913" t="s">
        <v>1243</v>
      </c>
      <c r="B150" s="1913" t="s">
        <v>797</v>
      </c>
      <c r="C150" s="1919" t="s">
        <v>2047</v>
      </c>
      <c r="D150" s="1919" t="s">
        <v>2048</v>
      </c>
      <c r="E150" s="1913" t="s">
        <v>1346</v>
      </c>
      <c r="F150" s="1914">
        <f>+F144-H144</f>
        <v>10909081</v>
      </c>
      <c r="G150" s="1914">
        <v>80498</v>
      </c>
      <c r="H150" s="1914">
        <f>+F144-F150</f>
        <v>909091</v>
      </c>
    </row>
    <row r="151" spans="1:12" outlineLevel="1">
      <c r="A151" s="1913" t="s">
        <v>1246</v>
      </c>
      <c r="B151" s="1913" t="s">
        <v>1449</v>
      </c>
      <c r="C151" s="1919" t="s">
        <v>2049</v>
      </c>
      <c r="D151" s="1919" t="s">
        <v>2050</v>
      </c>
      <c r="E151" s="1913" t="s">
        <v>1349</v>
      </c>
      <c r="F151" s="1914">
        <f t="shared" ref="F151:F154" si="30">+F145-H145</f>
        <v>72511819</v>
      </c>
      <c r="G151" s="1914">
        <v>56527</v>
      </c>
      <c r="H151" s="1914">
        <f t="shared" ref="H151:H154" si="31">+F145-F151</f>
        <v>426541</v>
      </c>
    </row>
    <row r="152" spans="1:12" outlineLevel="1">
      <c r="A152" s="1913" t="s">
        <v>1372</v>
      </c>
      <c r="B152" s="1913" t="s">
        <v>1450</v>
      </c>
      <c r="C152" s="1919" t="s">
        <v>2039</v>
      </c>
      <c r="D152" s="1919" t="s">
        <v>804</v>
      </c>
      <c r="E152" s="1913" t="s">
        <v>1242</v>
      </c>
      <c r="F152" s="1914">
        <v>26037720</v>
      </c>
      <c r="G152" s="1914">
        <v>0</v>
      </c>
      <c r="H152" s="1914">
        <f t="shared" si="31"/>
        <v>0</v>
      </c>
    </row>
    <row r="153" spans="1:12" outlineLevel="1">
      <c r="A153" s="1913" t="s">
        <v>1249</v>
      </c>
      <c r="B153" s="1913" t="s">
        <v>1451</v>
      </c>
      <c r="C153" s="1919" t="s">
        <v>2051</v>
      </c>
      <c r="D153" s="1919" t="s">
        <v>2052</v>
      </c>
      <c r="E153" s="1913" t="s">
        <v>1252</v>
      </c>
      <c r="F153" s="1914">
        <f t="shared" si="30"/>
        <v>13200000</v>
      </c>
      <c r="G153" s="1914">
        <v>86893</v>
      </c>
      <c r="H153" s="1914">
        <f t="shared" si="31"/>
        <v>60000</v>
      </c>
    </row>
    <row r="154" spans="1:12" outlineLevel="1">
      <c r="A154" s="1913" t="s">
        <v>1253</v>
      </c>
      <c r="B154" s="1913" t="s">
        <v>1452</v>
      </c>
      <c r="C154" s="1919" t="s">
        <v>2053</v>
      </c>
      <c r="D154" s="1919" t="s">
        <v>2054</v>
      </c>
      <c r="E154" s="1913" t="s">
        <v>1256</v>
      </c>
      <c r="F154" s="1914">
        <f t="shared" si="30"/>
        <v>2069410</v>
      </c>
      <c r="G154" s="1914">
        <v>13651</v>
      </c>
      <c r="H154" s="1914">
        <f t="shared" si="31"/>
        <v>13890</v>
      </c>
    </row>
    <row r="155" spans="1:12" outlineLevel="1">
      <c r="A155" s="1920" t="s">
        <v>1981</v>
      </c>
      <c r="B155" s="1920"/>
      <c r="C155" s="1921" t="s">
        <v>2055</v>
      </c>
      <c r="D155" s="1921" t="s">
        <v>2056</v>
      </c>
      <c r="F155" s="1918">
        <f t="shared" ref="F155:H155" si="32">SUM(F150:F154)</f>
        <v>124728030</v>
      </c>
      <c r="G155" s="1918">
        <f t="shared" si="32"/>
        <v>237569</v>
      </c>
      <c r="H155" s="1918">
        <f t="shared" si="32"/>
        <v>1409522</v>
      </c>
    </row>
    <row r="156" spans="1:12" outlineLevel="1">
      <c r="A156" s="1913" t="s">
        <v>1243</v>
      </c>
      <c r="B156" s="1913" t="s">
        <v>797</v>
      </c>
      <c r="C156" s="1919" t="s">
        <v>2069</v>
      </c>
      <c r="D156" s="1919" t="s">
        <v>2070</v>
      </c>
      <c r="E156" s="1913" t="s">
        <v>1346</v>
      </c>
      <c r="F156" s="1914">
        <f>+F150-H150</f>
        <v>9999990</v>
      </c>
      <c r="G156" s="1914">
        <v>67115</v>
      </c>
      <c r="H156" s="1914">
        <f>+F150-F156</f>
        <v>909091</v>
      </c>
    </row>
    <row r="157" spans="1:12" outlineLevel="1">
      <c r="A157" s="1913" t="s">
        <v>1246</v>
      </c>
      <c r="B157" s="1913" t="s">
        <v>1449</v>
      </c>
      <c r="C157" s="1919" t="s">
        <v>2071</v>
      </c>
      <c r="D157" s="1919" t="s">
        <v>2072</v>
      </c>
      <c r="E157" s="1913" t="s">
        <v>1349</v>
      </c>
      <c r="F157" s="1914">
        <f t="shared" ref="F157:F160" si="33">+F151-H151</f>
        <v>72085278</v>
      </c>
      <c r="G157" s="1914">
        <v>50758</v>
      </c>
      <c r="H157" s="1914">
        <f>+F151-F157</f>
        <v>426541</v>
      </c>
    </row>
    <row r="158" spans="1:12" outlineLevel="1">
      <c r="A158" s="1913" t="s">
        <v>1372</v>
      </c>
      <c r="B158" s="1913" t="s">
        <v>1450</v>
      </c>
      <c r="C158" s="1919" t="s">
        <v>2039</v>
      </c>
      <c r="D158" s="1919" t="s">
        <v>804</v>
      </c>
      <c r="E158" s="1913" t="s">
        <v>1242</v>
      </c>
      <c r="F158" s="1914">
        <f>+F152-H152</f>
        <v>26037720</v>
      </c>
      <c r="G158" s="1914">
        <v>0</v>
      </c>
      <c r="H158" s="1914">
        <f t="shared" ref="H158:H160" si="34">+F152-F158</f>
        <v>0</v>
      </c>
    </row>
    <row r="159" spans="1:12" outlineLevel="1">
      <c r="A159" s="1913" t="s">
        <v>1249</v>
      </c>
      <c r="B159" s="1913" t="s">
        <v>1451</v>
      </c>
      <c r="C159" s="1919" t="s">
        <v>2073</v>
      </c>
      <c r="D159" s="1919" t="s">
        <v>2074</v>
      </c>
      <c r="E159" s="1913" t="s">
        <v>1252</v>
      </c>
      <c r="F159" s="1914">
        <f t="shared" si="33"/>
        <v>13140000</v>
      </c>
      <c r="G159" s="1914">
        <v>78129</v>
      </c>
      <c r="H159" s="1914">
        <f t="shared" si="34"/>
        <v>60000</v>
      </c>
    </row>
    <row r="160" spans="1:12" outlineLevel="1">
      <c r="A160" s="1913" t="s">
        <v>1253</v>
      </c>
      <c r="B160" s="1913" t="s">
        <v>1452</v>
      </c>
      <c r="C160" s="1919" t="s">
        <v>2075</v>
      </c>
      <c r="D160" s="1919" t="s">
        <v>2076</v>
      </c>
      <c r="E160" s="1913" t="s">
        <v>1256</v>
      </c>
      <c r="F160" s="1914">
        <f t="shared" si="33"/>
        <v>2055520</v>
      </c>
      <c r="G160" s="1914">
        <v>12248</v>
      </c>
      <c r="H160" s="1914">
        <f t="shared" si="34"/>
        <v>13890</v>
      </c>
    </row>
    <row r="161" spans="1:10" outlineLevel="1">
      <c r="A161" s="1920" t="s">
        <v>1982</v>
      </c>
      <c r="B161" s="1920"/>
      <c r="C161" s="1921" t="s">
        <v>2077</v>
      </c>
      <c r="D161" s="1921" t="s">
        <v>2078</v>
      </c>
      <c r="F161" s="1918">
        <f t="shared" ref="F161:H161" si="35">SUM(F156:F160)</f>
        <v>123318508</v>
      </c>
      <c r="G161" s="1918">
        <f t="shared" si="35"/>
        <v>208250</v>
      </c>
      <c r="H161" s="1918">
        <f t="shared" si="35"/>
        <v>1409522</v>
      </c>
    </row>
    <row r="162" spans="1:10" outlineLevel="1">
      <c r="A162" s="1913" t="s">
        <v>1243</v>
      </c>
      <c r="B162" s="1913" t="s">
        <v>797</v>
      </c>
      <c r="C162" s="1919" t="s">
        <v>2086</v>
      </c>
      <c r="D162" s="1919" t="s">
        <v>2087</v>
      </c>
      <c r="E162" s="1913" t="s">
        <v>1346</v>
      </c>
      <c r="F162" s="1914">
        <f>+F156-H156</f>
        <v>9090899</v>
      </c>
      <c r="G162" s="1914">
        <v>68113</v>
      </c>
      <c r="H162" s="1914">
        <f t="shared" ref="H162:H178" si="36">+F156-F162</f>
        <v>909091</v>
      </c>
      <c r="I162" s="640" t="s">
        <v>2098</v>
      </c>
      <c r="J162" s="641"/>
    </row>
    <row r="163" spans="1:10" outlineLevel="1">
      <c r="A163" s="1913" t="s">
        <v>1246</v>
      </c>
      <c r="B163" s="1913" t="s">
        <v>1449</v>
      </c>
      <c r="C163" s="1919" t="s">
        <v>2088</v>
      </c>
      <c r="D163" s="1919" t="s">
        <v>2089</v>
      </c>
      <c r="E163" s="1913" t="s">
        <v>1349</v>
      </c>
      <c r="F163" s="1914">
        <f t="shared" ref="F163:F166" si="37">+F157-H157</f>
        <v>71658737</v>
      </c>
      <c r="G163" s="1914">
        <v>55866</v>
      </c>
      <c r="H163" s="1914">
        <f t="shared" si="36"/>
        <v>426541</v>
      </c>
      <c r="I163" s="640" t="s">
        <v>2099</v>
      </c>
      <c r="J163" s="641"/>
    </row>
    <row r="164" spans="1:10" outlineLevel="1">
      <c r="A164" s="1913" t="s">
        <v>1372</v>
      </c>
      <c r="B164" s="1913" t="s">
        <v>1450</v>
      </c>
      <c r="C164" s="1919" t="s">
        <v>2090</v>
      </c>
      <c r="D164" s="1919" t="s">
        <v>2091</v>
      </c>
      <c r="E164" s="1913" t="s">
        <v>1242</v>
      </c>
      <c r="F164" s="1914">
        <v>25474680</v>
      </c>
      <c r="G164" s="1914">
        <v>126933</v>
      </c>
      <c r="H164" s="1914">
        <f>+F158-F164</f>
        <v>563040</v>
      </c>
    </row>
    <row r="165" spans="1:10" outlineLevel="1">
      <c r="A165" s="1913" t="s">
        <v>1249</v>
      </c>
      <c r="B165" s="1913" t="s">
        <v>1451</v>
      </c>
      <c r="C165" s="1919" t="s">
        <v>2092</v>
      </c>
      <c r="D165" s="1919" t="s">
        <v>2093</v>
      </c>
      <c r="E165" s="1913" t="s">
        <v>1252</v>
      </c>
      <c r="F165" s="1914">
        <f t="shared" si="37"/>
        <v>13080000</v>
      </c>
      <c r="G165" s="1914">
        <v>86107</v>
      </c>
      <c r="H165" s="1914">
        <f t="shared" si="36"/>
        <v>60000</v>
      </c>
    </row>
    <row r="166" spans="1:10" outlineLevel="1">
      <c r="A166" s="1913" t="s">
        <v>1253</v>
      </c>
      <c r="B166" s="1913" t="s">
        <v>1452</v>
      </c>
      <c r="C166" s="1919" t="s">
        <v>2094</v>
      </c>
      <c r="D166" s="1919" t="s">
        <v>2095</v>
      </c>
      <c r="E166" s="1913" t="s">
        <v>1256</v>
      </c>
      <c r="F166" s="1914">
        <f t="shared" si="37"/>
        <v>2041630</v>
      </c>
      <c r="G166" s="1914">
        <v>13469</v>
      </c>
      <c r="H166" s="1914">
        <f t="shared" si="36"/>
        <v>13890</v>
      </c>
    </row>
    <row r="167" spans="1:10" outlineLevel="1">
      <c r="A167" s="1920" t="s">
        <v>2079</v>
      </c>
      <c r="B167" s="1920"/>
      <c r="C167" s="1921" t="s">
        <v>2096</v>
      </c>
      <c r="D167" s="1921" t="s">
        <v>2097</v>
      </c>
      <c r="F167" s="1918">
        <f>SUM(F162:F166)</f>
        <v>121345946</v>
      </c>
      <c r="G167" s="1918">
        <f t="shared" ref="G167:H167" si="38">SUM(G162:G166)</f>
        <v>350488</v>
      </c>
      <c r="H167" s="1918">
        <f t="shared" si="38"/>
        <v>1972562</v>
      </c>
    </row>
    <row r="168" spans="1:10" outlineLevel="1">
      <c r="A168" s="1913" t="s">
        <v>1243</v>
      </c>
      <c r="B168" s="1913" t="s">
        <v>797</v>
      </c>
      <c r="C168" s="1919" t="s">
        <v>2113</v>
      </c>
      <c r="D168" s="1919" t="s">
        <v>2114</v>
      </c>
      <c r="E168" s="1913" t="s">
        <v>1346</v>
      </c>
      <c r="F168" s="1914">
        <v>8181808</v>
      </c>
      <c r="G168" s="1914">
        <v>59924</v>
      </c>
      <c r="H168" s="1914">
        <f t="shared" si="36"/>
        <v>909091</v>
      </c>
    </row>
    <row r="169" spans="1:10" outlineLevel="1">
      <c r="A169" s="1913" t="s">
        <v>1246</v>
      </c>
      <c r="B169" s="1913" t="s">
        <v>1449</v>
      </c>
      <c r="C169" s="1919" t="s">
        <v>2115</v>
      </c>
      <c r="D169" s="1919" t="s">
        <v>2116</v>
      </c>
      <c r="E169" s="1913" t="s">
        <v>1349</v>
      </c>
      <c r="F169" s="1914">
        <v>71232196</v>
      </c>
      <c r="G169" s="1914">
        <v>53744</v>
      </c>
      <c r="H169" s="1914">
        <f t="shared" si="36"/>
        <v>426541</v>
      </c>
    </row>
    <row r="170" spans="1:10" outlineLevel="1">
      <c r="A170" s="1913" t="s">
        <v>1372</v>
      </c>
      <c r="B170" s="1913" t="s">
        <v>1450</v>
      </c>
      <c r="C170" s="1919" t="s">
        <v>2090</v>
      </c>
      <c r="D170" s="1919" t="s">
        <v>804</v>
      </c>
      <c r="E170" s="1913" t="s">
        <v>1242</v>
      </c>
      <c r="F170" s="1914">
        <v>25471680</v>
      </c>
      <c r="G170" s="1914">
        <v>0</v>
      </c>
      <c r="H170" s="1914">
        <f>+F164-F170</f>
        <v>3000</v>
      </c>
    </row>
    <row r="171" spans="1:10" outlineLevel="1">
      <c r="A171" s="1913" t="s">
        <v>1249</v>
      </c>
      <c r="B171" s="1913" t="s">
        <v>1451</v>
      </c>
      <c r="C171" s="1919" t="s">
        <v>2117</v>
      </c>
      <c r="D171" s="1919" t="s">
        <v>2118</v>
      </c>
      <c r="E171" s="1913" t="s">
        <v>1252</v>
      </c>
      <c r="F171" s="1914">
        <v>13020000</v>
      </c>
      <c r="G171" s="1914">
        <v>82949</v>
      </c>
      <c r="H171" s="1914">
        <f t="shared" si="36"/>
        <v>60000</v>
      </c>
    </row>
    <row r="172" spans="1:10" outlineLevel="1">
      <c r="A172" s="1913" t="s">
        <v>1253</v>
      </c>
      <c r="B172" s="1913" t="s">
        <v>1452</v>
      </c>
      <c r="C172" s="1919" t="s">
        <v>2119</v>
      </c>
      <c r="D172" s="1919" t="s">
        <v>2120</v>
      </c>
      <c r="E172" s="1913" t="s">
        <v>1256</v>
      </c>
      <c r="F172" s="1914">
        <v>2027740</v>
      </c>
      <c r="G172" s="1914">
        <v>12947</v>
      </c>
      <c r="H172" s="1914">
        <f t="shared" si="36"/>
        <v>13890</v>
      </c>
    </row>
    <row r="173" spans="1:10" outlineLevel="1">
      <c r="A173" s="1920" t="s">
        <v>2121</v>
      </c>
      <c r="B173" s="1920"/>
      <c r="C173" s="1921" t="s">
        <v>2122</v>
      </c>
      <c r="D173" s="1921" t="s">
        <v>2123</v>
      </c>
      <c r="F173" s="1918">
        <f>SUM(F168:F172)</f>
        <v>119933424</v>
      </c>
      <c r="G173" s="1918">
        <f t="shared" ref="G173:H173" si="39">SUM(G168:G172)</f>
        <v>209564</v>
      </c>
      <c r="H173" s="1918">
        <f t="shared" si="39"/>
        <v>1412522</v>
      </c>
    </row>
    <row r="174" spans="1:10" outlineLevel="1">
      <c r="A174" s="1913" t="s">
        <v>1243</v>
      </c>
      <c r="B174" s="1913" t="s">
        <v>797</v>
      </c>
      <c r="C174" s="1919" t="s">
        <v>2124</v>
      </c>
      <c r="D174" s="1919" t="s">
        <v>2125</v>
      </c>
      <c r="E174" s="1913" t="s">
        <v>1346</v>
      </c>
      <c r="F174" s="1914">
        <v>7272717</v>
      </c>
      <c r="G174" s="1914">
        <v>55729</v>
      </c>
      <c r="H174" s="1914">
        <f t="shared" si="36"/>
        <v>909091</v>
      </c>
    </row>
    <row r="175" spans="1:10" outlineLevel="1">
      <c r="A175" s="1913" t="s">
        <v>1246</v>
      </c>
      <c r="B175" s="1913" t="s">
        <v>1449</v>
      </c>
      <c r="C175" s="1919" t="s">
        <v>2126</v>
      </c>
      <c r="D175" s="1919" t="s">
        <v>2127</v>
      </c>
      <c r="E175" s="1913" t="s">
        <v>1349</v>
      </c>
      <c r="F175" s="1914">
        <v>70805655</v>
      </c>
      <c r="G175" s="1914">
        <v>55204</v>
      </c>
      <c r="H175" s="1914">
        <f t="shared" si="36"/>
        <v>426541</v>
      </c>
    </row>
    <row r="176" spans="1:10" outlineLevel="1">
      <c r="A176" s="1913" t="s">
        <v>1372</v>
      </c>
      <c r="B176" s="1913" t="s">
        <v>1450</v>
      </c>
      <c r="C176" s="1919" t="s">
        <v>2090</v>
      </c>
      <c r="D176" s="1919" t="s">
        <v>804</v>
      </c>
      <c r="E176" s="1913" t="s">
        <v>1242</v>
      </c>
      <c r="F176" s="1914">
        <v>25471680</v>
      </c>
      <c r="G176" s="1914">
        <v>0</v>
      </c>
      <c r="H176" s="1914">
        <f>+F170-F176</f>
        <v>0</v>
      </c>
    </row>
    <row r="177" spans="1:8" outlineLevel="1">
      <c r="A177" s="1913" t="s">
        <v>1249</v>
      </c>
      <c r="B177" s="1913" t="s">
        <v>1451</v>
      </c>
      <c r="C177" s="1919" t="s">
        <v>2128</v>
      </c>
      <c r="D177" s="1919" t="s">
        <v>2129</v>
      </c>
      <c r="E177" s="1913" t="s">
        <v>1252</v>
      </c>
      <c r="F177" s="1914">
        <v>12960000</v>
      </c>
      <c r="G177" s="1914">
        <v>85320</v>
      </c>
      <c r="H177" s="1914">
        <f t="shared" si="36"/>
        <v>60000</v>
      </c>
    </row>
    <row r="178" spans="1:8" outlineLevel="1">
      <c r="A178" s="1913" t="s">
        <v>1253</v>
      </c>
      <c r="B178" s="1913" t="s">
        <v>1452</v>
      </c>
      <c r="C178" s="1919" t="s">
        <v>2130</v>
      </c>
      <c r="D178" s="1919" t="s">
        <v>2131</v>
      </c>
      <c r="E178" s="1913" t="s">
        <v>1256</v>
      </c>
      <c r="F178" s="1914">
        <v>2013850</v>
      </c>
      <c r="G178" s="1914">
        <v>13287</v>
      </c>
      <c r="H178" s="1914">
        <f t="shared" si="36"/>
        <v>13890</v>
      </c>
    </row>
    <row r="179" spans="1:8" outlineLevel="1">
      <c r="A179" s="1920" t="s">
        <v>2132</v>
      </c>
      <c r="B179" s="1920"/>
      <c r="C179" s="1921" t="s">
        <v>2133</v>
      </c>
      <c r="D179" s="1921" t="s">
        <v>2134</v>
      </c>
      <c r="F179" s="1918">
        <f>SUM(F174:F178)</f>
        <v>118523902</v>
      </c>
      <c r="G179" s="1918">
        <f t="shared" ref="G179:H179" si="40">SUM(G174:G178)</f>
        <v>209540</v>
      </c>
      <c r="H179" s="1918">
        <f t="shared" si="40"/>
        <v>1409522</v>
      </c>
    </row>
    <row r="180" spans="1:8" outlineLevel="1">
      <c r="A180" s="1913" t="s">
        <v>1243</v>
      </c>
      <c r="B180" s="1913" t="s">
        <v>797</v>
      </c>
      <c r="C180" s="1919" t="s">
        <v>2135</v>
      </c>
      <c r="D180" s="1919" t="s">
        <v>2136</v>
      </c>
      <c r="E180" s="1913" t="s">
        <v>1346</v>
      </c>
      <c r="F180" s="1914">
        <v>6363626</v>
      </c>
      <c r="G180" s="1914">
        <v>47878</v>
      </c>
      <c r="H180" s="1914">
        <f t="shared" ref="H180:H184" si="41">+F174-F180</f>
        <v>909091</v>
      </c>
    </row>
    <row r="181" spans="1:8" outlineLevel="1">
      <c r="A181" s="1913" t="s">
        <v>1246</v>
      </c>
      <c r="B181" s="1913" t="s">
        <v>1449</v>
      </c>
      <c r="C181" s="1919" t="s">
        <v>2137</v>
      </c>
      <c r="D181" s="1919" t="s">
        <v>2138</v>
      </c>
      <c r="E181" s="1913" t="s">
        <v>1349</v>
      </c>
      <c r="F181" s="1914">
        <v>70379114</v>
      </c>
      <c r="G181" s="1914">
        <v>53104</v>
      </c>
      <c r="H181" s="1914">
        <f t="shared" si="41"/>
        <v>426541</v>
      </c>
    </row>
    <row r="182" spans="1:8" outlineLevel="1">
      <c r="A182" s="1913" t="s">
        <v>1372</v>
      </c>
      <c r="B182" s="1913" t="s">
        <v>1450</v>
      </c>
      <c r="C182" s="1919" t="s">
        <v>2139</v>
      </c>
      <c r="D182" s="1919" t="s">
        <v>2140</v>
      </c>
      <c r="E182" s="1913" t="s">
        <v>1242</v>
      </c>
      <c r="F182" s="1914">
        <v>24905640</v>
      </c>
      <c r="G182" s="1914">
        <v>125554</v>
      </c>
      <c r="H182" s="1914">
        <f t="shared" si="41"/>
        <v>566040</v>
      </c>
    </row>
    <row r="183" spans="1:8" outlineLevel="1">
      <c r="A183" s="1913" t="s">
        <v>1249</v>
      </c>
      <c r="B183" s="1913" t="s">
        <v>1451</v>
      </c>
      <c r="C183" s="1919" t="s">
        <v>2141</v>
      </c>
      <c r="D183" s="1919" t="s">
        <v>2142</v>
      </c>
      <c r="E183" s="1913" t="s">
        <v>1252</v>
      </c>
      <c r="F183" s="1914">
        <v>12900000</v>
      </c>
      <c r="G183" s="1914">
        <v>82080</v>
      </c>
      <c r="H183" s="1914">
        <f t="shared" si="41"/>
        <v>60000</v>
      </c>
    </row>
    <row r="184" spans="1:8" outlineLevel="1">
      <c r="A184" s="1913" t="s">
        <v>1253</v>
      </c>
      <c r="B184" s="1913" t="s">
        <v>1452</v>
      </c>
      <c r="C184" s="1919" t="s">
        <v>2143</v>
      </c>
      <c r="D184" s="1919" t="s">
        <v>2144</v>
      </c>
      <c r="E184" s="1913" t="s">
        <v>1256</v>
      </c>
      <c r="F184" s="1914">
        <v>1999960</v>
      </c>
      <c r="G184" s="1914">
        <v>12755</v>
      </c>
      <c r="H184" s="1914">
        <f t="shared" si="41"/>
        <v>13890</v>
      </c>
    </row>
    <row r="185" spans="1:8" outlineLevel="1">
      <c r="A185" s="1920" t="s">
        <v>2145</v>
      </c>
      <c r="B185" s="1920"/>
      <c r="C185" s="1921" t="s">
        <v>2146</v>
      </c>
      <c r="D185" s="1921" t="s">
        <v>2147</v>
      </c>
      <c r="F185" s="1918">
        <f t="shared" ref="F185:H185" si="42">SUM(F180:F184)</f>
        <v>116548340</v>
      </c>
      <c r="G185" s="1918">
        <f t="shared" si="42"/>
        <v>321371</v>
      </c>
      <c r="H185" s="1918">
        <f t="shared" si="42"/>
        <v>1975562</v>
      </c>
    </row>
    <row r="186" spans="1:8" outlineLevel="1">
      <c r="A186" s="1913" t="s">
        <v>1243</v>
      </c>
      <c r="B186" s="1913" t="s">
        <v>797</v>
      </c>
      <c r="C186" s="1919" t="s">
        <v>2148</v>
      </c>
      <c r="D186" s="1919" t="s">
        <v>2149</v>
      </c>
      <c r="E186" s="1913" t="s">
        <v>1346</v>
      </c>
      <c r="F186" s="1914">
        <v>5454535</v>
      </c>
      <c r="G186" s="1914">
        <v>43235</v>
      </c>
      <c r="H186" s="1914">
        <f>+F180-F186</f>
        <v>909091</v>
      </c>
    </row>
    <row r="187" spans="1:8" outlineLevel="1">
      <c r="A187" s="1913" t="s">
        <v>1246</v>
      </c>
      <c r="B187" s="1913" t="s">
        <v>1449</v>
      </c>
      <c r="C187" s="1919" t="s">
        <v>2150</v>
      </c>
      <c r="D187" s="1919" t="s">
        <v>2151</v>
      </c>
      <c r="E187" s="1913" t="s">
        <v>1349</v>
      </c>
      <c r="F187" s="1914">
        <v>69952573</v>
      </c>
      <c r="G187" s="1914">
        <v>54543</v>
      </c>
      <c r="H187" s="1914">
        <f t="shared" ref="H187:H190" si="43">+F181-F187</f>
        <v>426541</v>
      </c>
    </row>
    <row r="188" spans="1:8" outlineLevel="1">
      <c r="A188" s="1913" t="s">
        <v>1372</v>
      </c>
      <c r="B188" s="1913" t="s">
        <v>1450</v>
      </c>
      <c r="C188" s="1919" t="s">
        <v>2139</v>
      </c>
      <c r="D188" s="1919" t="s">
        <v>804</v>
      </c>
      <c r="E188" s="1913" t="s">
        <v>1242</v>
      </c>
      <c r="F188" s="1914">
        <v>24905640</v>
      </c>
      <c r="G188" s="1914">
        <v>0</v>
      </c>
      <c r="H188" s="1914">
        <f t="shared" si="43"/>
        <v>0</v>
      </c>
    </row>
    <row r="189" spans="1:8" outlineLevel="1">
      <c r="A189" s="1913" t="s">
        <v>1249</v>
      </c>
      <c r="B189" s="1913" t="s">
        <v>1451</v>
      </c>
      <c r="C189" s="1919" t="s">
        <v>2152</v>
      </c>
      <c r="D189" s="1919" t="s">
        <v>2153</v>
      </c>
      <c r="E189" s="1913" t="s">
        <v>1252</v>
      </c>
      <c r="F189" s="1914">
        <v>12840000</v>
      </c>
      <c r="G189" s="1914">
        <v>84312</v>
      </c>
      <c r="H189" s="1914">
        <f>+F183-F189</f>
        <v>60000</v>
      </c>
    </row>
    <row r="190" spans="1:8" outlineLevel="1">
      <c r="A190" s="1913" t="s">
        <v>1253</v>
      </c>
      <c r="B190" s="1913" t="s">
        <v>1452</v>
      </c>
      <c r="C190" s="1919" t="s">
        <v>2154</v>
      </c>
      <c r="D190" s="1919" t="s">
        <v>2155</v>
      </c>
      <c r="E190" s="1913" t="s">
        <v>1256</v>
      </c>
      <c r="F190" s="1914">
        <v>1986070</v>
      </c>
      <c r="G190" s="1914">
        <v>13063</v>
      </c>
      <c r="H190" s="1914">
        <f t="shared" si="43"/>
        <v>13890</v>
      </c>
    </row>
    <row r="191" spans="1:8" outlineLevel="1">
      <c r="A191" s="1920" t="s">
        <v>2156</v>
      </c>
      <c r="B191" s="1920"/>
      <c r="C191" s="1921" t="s">
        <v>2157</v>
      </c>
      <c r="D191" s="1921" t="s">
        <v>2158</v>
      </c>
      <c r="F191" s="1918">
        <f t="shared" ref="F191:H191" si="44">SUM(F186:F190)</f>
        <v>115138818</v>
      </c>
      <c r="G191" s="1918">
        <f t="shared" si="44"/>
        <v>195153</v>
      </c>
      <c r="H191" s="1918">
        <f t="shared" si="44"/>
        <v>1409522</v>
      </c>
    </row>
    <row r="192" spans="1:8" outlineLevel="1">
      <c r="A192" s="1924" t="s">
        <v>1253</v>
      </c>
      <c r="B192" s="1913" t="s">
        <v>1452</v>
      </c>
      <c r="C192" s="1925" t="s">
        <v>2237</v>
      </c>
      <c r="D192" s="1919" t="s">
        <v>2238</v>
      </c>
      <c r="E192" s="1913" t="s">
        <v>1256</v>
      </c>
      <c r="G192" s="1914">
        <v>12127</v>
      </c>
    </row>
    <row r="193" spans="1:8" outlineLevel="1">
      <c r="A193" s="1924" t="s">
        <v>1249</v>
      </c>
      <c r="B193" s="1913" t="s">
        <v>1451</v>
      </c>
      <c r="C193" s="1925" t="s">
        <v>2237</v>
      </c>
      <c r="D193" s="1919" t="s">
        <v>2239</v>
      </c>
      <c r="E193" s="1913" t="s">
        <v>1252</v>
      </c>
      <c r="G193" s="1914">
        <v>78402</v>
      </c>
    </row>
    <row r="194" spans="1:8" outlineLevel="1">
      <c r="A194" s="1926">
        <v>45167</v>
      </c>
      <c r="B194" s="1927" t="s">
        <v>2240</v>
      </c>
      <c r="C194" s="1928"/>
      <c r="D194" s="1928" t="s">
        <v>2241</v>
      </c>
      <c r="E194" s="1927"/>
      <c r="G194" s="1929">
        <v>90529</v>
      </c>
    </row>
    <row r="195" spans="1:8" outlineLevel="1">
      <c r="A195" s="1913" t="s">
        <v>1243</v>
      </c>
      <c r="B195" s="1913" t="s">
        <v>2242</v>
      </c>
      <c r="C195" s="1919" t="s">
        <v>2243</v>
      </c>
      <c r="D195" s="1919" t="s">
        <v>2244</v>
      </c>
      <c r="E195" s="1913" t="s">
        <v>1346</v>
      </c>
      <c r="F195" s="1914">
        <v>4545444</v>
      </c>
      <c r="G195" s="1914">
        <v>37012</v>
      </c>
      <c r="H195" s="1914">
        <f>+F186-F195</f>
        <v>909091</v>
      </c>
    </row>
    <row r="196" spans="1:8" outlineLevel="1">
      <c r="A196" s="1913" t="s">
        <v>1246</v>
      </c>
      <c r="B196" s="1913" t="s">
        <v>2245</v>
      </c>
      <c r="C196" s="1919" t="s">
        <v>2246</v>
      </c>
      <c r="D196" s="1919" t="s">
        <v>2247</v>
      </c>
      <c r="E196" s="1913" t="s">
        <v>1349</v>
      </c>
      <c r="F196" s="1914">
        <v>69526032</v>
      </c>
      <c r="G196" s="1914">
        <v>54213</v>
      </c>
      <c r="H196" s="1914">
        <f>+F187-F196</f>
        <v>426541</v>
      </c>
    </row>
    <row r="197" spans="1:8" outlineLevel="1">
      <c r="A197" s="1913" t="s">
        <v>1372</v>
      </c>
      <c r="B197" s="1913" t="s">
        <v>2248</v>
      </c>
      <c r="C197" s="1919" t="s">
        <v>2139</v>
      </c>
      <c r="D197" s="1919" t="s">
        <v>804</v>
      </c>
      <c r="E197" s="1913" t="s">
        <v>1242</v>
      </c>
      <c r="F197" s="1914">
        <v>24905640</v>
      </c>
      <c r="G197" s="1914">
        <v>0</v>
      </c>
      <c r="H197" s="1914">
        <f>+F188-F197</f>
        <v>0</v>
      </c>
    </row>
    <row r="198" spans="1:8" outlineLevel="1">
      <c r="A198" s="1913" t="s">
        <v>2249</v>
      </c>
      <c r="B198" s="1913" t="s">
        <v>2250</v>
      </c>
      <c r="C198" s="1930" t="s">
        <v>2408</v>
      </c>
      <c r="D198" s="1919" t="s">
        <v>2251</v>
      </c>
      <c r="E198" s="1913" t="s">
        <v>2409</v>
      </c>
      <c r="F198" s="1914">
        <v>100000000</v>
      </c>
      <c r="G198" s="1914">
        <v>7202</v>
      </c>
      <c r="H198" s="1914">
        <v>0</v>
      </c>
    </row>
    <row r="199" spans="1:8" outlineLevel="1">
      <c r="A199" s="1913" t="s">
        <v>2252</v>
      </c>
      <c r="B199" s="1913" t="s">
        <v>2410</v>
      </c>
      <c r="C199" s="1919" t="s">
        <v>2253</v>
      </c>
      <c r="D199" s="1919" t="s">
        <v>2254</v>
      </c>
      <c r="E199" s="1913" t="s">
        <v>2411</v>
      </c>
      <c r="F199" s="1914">
        <v>14769265</v>
      </c>
      <c r="G199" s="1914">
        <v>4027</v>
      </c>
      <c r="H199" s="1914">
        <f>+F189+F190-F199</f>
        <v>56805</v>
      </c>
    </row>
    <row r="200" spans="1:8" outlineLevel="1">
      <c r="A200" s="1920" t="s">
        <v>2255</v>
      </c>
      <c r="B200" s="1920"/>
      <c r="C200" s="1921" t="s">
        <v>2256</v>
      </c>
      <c r="D200" s="1921" t="s">
        <v>2257</v>
      </c>
      <c r="F200" s="1918">
        <f>SUM(F194:F199)</f>
        <v>213746381</v>
      </c>
      <c r="G200" s="1918">
        <f>SUM(G194:G199)</f>
        <v>192983</v>
      </c>
      <c r="H200" s="1918">
        <f t="shared" ref="H200" si="45">SUM(H194:H199)</f>
        <v>1392437</v>
      </c>
    </row>
    <row r="201" spans="1:8" outlineLevel="1">
      <c r="A201" s="1913" t="s">
        <v>1243</v>
      </c>
      <c r="B201" s="1913" t="s">
        <v>2242</v>
      </c>
      <c r="C201" s="1919" t="s">
        <v>2258</v>
      </c>
      <c r="D201" s="1919" t="s">
        <v>2259</v>
      </c>
      <c r="E201" s="1913" t="s">
        <v>1346</v>
      </c>
      <c r="F201" s="1914">
        <v>3636353</v>
      </c>
      <c r="G201" s="1914">
        <v>29886</v>
      </c>
      <c r="H201" s="1914">
        <f>+F195-F201</f>
        <v>909091</v>
      </c>
    </row>
    <row r="202" spans="1:8" outlineLevel="1">
      <c r="A202" s="1913" t="s">
        <v>1246</v>
      </c>
      <c r="B202" s="1913" t="s">
        <v>2245</v>
      </c>
      <c r="C202" s="1919" t="s">
        <v>2260</v>
      </c>
      <c r="D202" s="1919" t="s">
        <v>2261</v>
      </c>
      <c r="E202" s="1913" t="s">
        <v>1349</v>
      </c>
      <c r="F202" s="1914">
        <v>69099491</v>
      </c>
      <c r="G202" s="1914">
        <v>52144</v>
      </c>
      <c r="H202" s="1914">
        <f>+F196-F202</f>
        <v>426541</v>
      </c>
    </row>
    <row r="203" spans="1:8" outlineLevel="1">
      <c r="A203" s="1913" t="s">
        <v>1372</v>
      </c>
      <c r="B203" s="1913" t="s">
        <v>2248</v>
      </c>
      <c r="C203" s="1919" t="s">
        <v>2262</v>
      </c>
      <c r="D203" s="1919" t="s">
        <v>2263</v>
      </c>
      <c r="E203" s="1913" t="s">
        <v>1242</v>
      </c>
      <c r="F203" s="1914">
        <v>24339600</v>
      </c>
      <c r="G203" s="1914">
        <v>122764</v>
      </c>
      <c r="H203" s="1914">
        <f>+F197-F203</f>
        <v>566040</v>
      </c>
    </row>
    <row r="204" spans="1:8" outlineLevel="1">
      <c r="A204" s="1913" t="s">
        <v>2249</v>
      </c>
      <c r="B204" s="1913" t="s">
        <v>2250</v>
      </c>
      <c r="C204" s="1930" t="s">
        <v>2408</v>
      </c>
      <c r="D204" s="1919" t="s">
        <v>2264</v>
      </c>
      <c r="E204" s="1913" t="s">
        <v>2409</v>
      </c>
      <c r="F204" s="1914">
        <v>100000000</v>
      </c>
      <c r="G204" s="1914">
        <v>43927</v>
      </c>
      <c r="H204" s="1914">
        <f>+F198-F204</f>
        <v>0</v>
      </c>
    </row>
    <row r="205" spans="1:8" outlineLevel="1">
      <c r="A205" s="1913" t="s">
        <v>2252</v>
      </c>
      <c r="B205" s="1913" t="s">
        <v>2410</v>
      </c>
      <c r="C205" s="1919" t="s">
        <v>2265</v>
      </c>
      <c r="D205" s="1919" t="s">
        <v>2266</v>
      </c>
      <c r="E205" s="1913" t="s">
        <v>2411</v>
      </c>
      <c r="F205" s="1914">
        <v>14712460</v>
      </c>
      <c r="G205" s="1914">
        <v>60184</v>
      </c>
      <c r="H205" s="1914">
        <f>+F199-F205</f>
        <v>56805</v>
      </c>
    </row>
    <row r="206" spans="1:8" outlineLevel="1">
      <c r="A206" s="1920" t="s">
        <v>2267</v>
      </c>
      <c r="B206" s="1920"/>
      <c r="C206" s="1921" t="s">
        <v>2268</v>
      </c>
      <c r="D206" s="1921" t="s">
        <v>2269</v>
      </c>
      <c r="F206" s="1918">
        <f>SUM(F201:F205)</f>
        <v>211787904</v>
      </c>
      <c r="G206" s="1918">
        <f t="shared" ref="G206:H206" si="46">SUM(G201:G205)</f>
        <v>308905</v>
      </c>
      <c r="H206" s="1918">
        <f t="shared" si="46"/>
        <v>1958477</v>
      </c>
    </row>
    <row r="207" spans="1:8" outlineLevel="1">
      <c r="A207" s="1913" t="s">
        <v>1243</v>
      </c>
      <c r="B207" s="1913" t="s">
        <v>2242</v>
      </c>
      <c r="C207" s="1919" t="s">
        <v>2322</v>
      </c>
      <c r="D207" s="1919" t="s">
        <v>2323</v>
      </c>
      <c r="E207" s="1913" t="s">
        <v>1346</v>
      </c>
      <c r="F207" s="1914">
        <f>+F201-H201</f>
        <v>2727262</v>
      </c>
      <c r="G207" s="1914">
        <v>24674</v>
      </c>
      <c r="H207" s="1914">
        <f>+F201-F207</f>
        <v>909091</v>
      </c>
    </row>
    <row r="208" spans="1:8" outlineLevel="1">
      <c r="A208" s="1913" t="s">
        <v>1246</v>
      </c>
      <c r="B208" s="1913" t="s">
        <v>2245</v>
      </c>
      <c r="C208" s="1919" t="s">
        <v>2324</v>
      </c>
      <c r="D208" s="1919" t="s">
        <v>2325</v>
      </c>
      <c r="E208" s="1913" t="s">
        <v>1349</v>
      </c>
      <c r="F208" s="1914">
        <f>+F202-H202</f>
        <v>68672950</v>
      </c>
      <c r="G208" s="1914">
        <v>53552</v>
      </c>
      <c r="H208" s="1914">
        <f t="shared" ref="H208:H211" si="47">+F202-F208</f>
        <v>426541</v>
      </c>
    </row>
    <row r="209" spans="1:12" outlineLevel="1">
      <c r="A209" s="1913" t="s">
        <v>1372</v>
      </c>
      <c r="B209" s="1913" t="s">
        <v>2248</v>
      </c>
      <c r="C209" s="1919" t="s">
        <v>2262</v>
      </c>
      <c r="D209" s="1919" t="s">
        <v>804</v>
      </c>
      <c r="E209" s="1913" t="s">
        <v>1242</v>
      </c>
      <c r="F209" s="1914">
        <v>24339600</v>
      </c>
      <c r="G209" s="1914">
        <v>0</v>
      </c>
      <c r="H209" s="1914">
        <f t="shared" si="47"/>
        <v>0</v>
      </c>
    </row>
    <row r="210" spans="1:12" outlineLevel="1">
      <c r="A210" s="1913" t="s">
        <v>2249</v>
      </c>
      <c r="B210" s="1913" t="s">
        <v>2250</v>
      </c>
      <c r="C210" s="1930" t="s">
        <v>2408</v>
      </c>
      <c r="D210" s="1919" t="s">
        <v>2326</v>
      </c>
      <c r="E210" s="1913" t="s">
        <v>2409</v>
      </c>
      <c r="F210" s="1914">
        <f>+F204</f>
        <v>100000000</v>
      </c>
      <c r="G210" s="1914">
        <v>80810</v>
      </c>
      <c r="H210" s="1914">
        <f t="shared" si="47"/>
        <v>0</v>
      </c>
    </row>
    <row r="211" spans="1:12" outlineLevel="1">
      <c r="A211" s="1913" t="s">
        <v>2252</v>
      </c>
      <c r="B211" s="1913" t="s">
        <v>2410</v>
      </c>
      <c r="C211" s="1919" t="s">
        <v>2327</v>
      </c>
      <c r="D211" s="1919" t="s">
        <v>2328</v>
      </c>
      <c r="E211" s="1913" t="s">
        <v>2411</v>
      </c>
      <c r="F211" s="1914">
        <f>+F205-H205</f>
        <v>14655655</v>
      </c>
      <c r="G211" s="1914">
        <v>61951</v>
      </c>
      <c r="H211" s="1914">
        <f t="shared" si="47"/>
        <v>56805</v>
      </c>
    </row>
    <row r="212" spans="1:12" outlineLevel="1">
      <c r="A212" s="1920" t="s">
        <v>2412</v>
      </c>
      <c r="B212" s="1920"/>
      <c r="C212" s="1921" t="s">
        <v>2413</v>
      </c>
      <c r="D212" s="1921" t="s">
        <v>2414</v>
      </c>
      <c r="F212" s="1918">
        <f>SUM(F207:F211)</f>
        <v>210395467</v>
      </c>
      <c r="G212" s="1918">
        <f t="shared" ref="G212:H212" si="48">SUM(G207:G211)</f>
        <v>220987</v>
      </c>
      <c r="H212" s="1918">
        <f t="shared" si="48"/>
        <v>1392437</v>
      </c>
    </row>
    <row r="213" spans="1:12" outlineLevel="1">
      <c r="A213" s="1913" t="s">
        <v>1243</v>
      </c>
      <c r="B213" s="1913" t="s">
        <v>2242</v>
      </c>
      <c r="C213" s="1919" t="s">
        <v>2415</v>
      </c>
      <c r="D213" s="1919" t="s">
        <v>2416</v>
      </c>
      <c r="E213" s="1913" t="s">
        <v>1346</v>
      </c>
      <c r="F213" s="1931">
        <v>1818171</v>
      </c>
      <c r="G213" s="1931">
        <v>17818</v>
      </c>
      <c r="H213" s="1914">
        <f>+F207-F213</f>
        <v>909091</v>
      </c>
    </row>
    <row r="214" spans="1:12" outlineLevel="1">
      <c r="A214" s="1913" t="s">
        <v>1246</v>
      </c>
      <c r="B214" s="1913" t="s">
        <v>2245</v>
      </c>
      <c r="C214" s="1919" t="s">
        <v>2417</v>
      </c>
      <c r="D214" s="1919" t="s">
        <v>2418</v>
      </c>
      <c r="E214" s="1913" t="s">
        <v>1349</v>
      </c>
      <c r="F214" s="1931">
        <v>68246409</v>
      </c>
      <c r="G214" s="1931">
        <v>51504</v>
      </c>
      <c r="H214" s="1914">
        <f>+F208-F214</f>
        <v>426541</v>
      </c>
    </row>
    <row r="215" spans="1:12" outlineLevel="1">
      <c r="A215" s="1913" t="s">
        <v>1372</v>
      </c>
      <c r="B215" s="1913" t="s">
        <v>2248</v>
      </c>
      <c r="C215" s="1919" t="s">
        <v>2262</v>
      </c>
      <c r="D215" s="1919" t="s">
        <v>804</v>
      </c>
      <c r="E215" s="1913" t="s">
        <v>1242</v>
      </c>
      <c r="F215" s="1931">
        <v>24339600</v>
      </c>
      <c r="G215" s="1931">
        <v>0</v>
      </c>
      <c r="H215" s="1914">
        <f>+F209-F215</f>
        <v>0</v>
      </c>
    </row>
    <row r="216" spans="1:12" outlineLevel="1">
      <c r="A216" s="1913" t="s">
        <v>2249</v>
      </c>
      <c r="B216" s="1913" t="s">
        <v>2250</v>
      </c>
      <c r="C216" s="1932" t="s">
        <v>2419</v>
      </c>
      <c r="D216" s="1919" t="s">
        <v>2420</v>
      </c>
      <c r="E216" s="1913" t="s">
        <v>2409</v>
      </c>
      <c r="F216" s="1931">
        <v>100000000</v>
      </c>
      <c r="G216" s="1931">
        <v>133480</v>
      </c>
      <c r="H216" s="1914">
        <f>+F210-F216</f>
        <v>0</v>
      </c>
    </row>
    <row r="217" spans="1:12" outlineLevel="1">
      <c r="A217" s="1913" t="s">
        <v>2252</v>
      </c>
      <c r="B217" s="1913" t="s">
        <v>2410</v>
      </c>
      <c r="C217" s="1919" t="s">
        <v>2421</v>
      </c>
      <c r="D217" s="1919" t="s">
        <v>2422</v>
      </c>
      <c r="E217" s="1913" t="s">
        <v>2411</v>
      </c>
      <c r="F217" s="1931">
        <v>14598851</v>
      </c>
      <c r="G217" s="1931">
        <v>59721</v>
      </c>
      <c r="H217" s="1914">
        <f>+F211-F217</f>
        <v>56804</v>
      </c>
    </row>
    <row r="218" spans="1:12" outlineLevel="1">
      <c r="A218" s="1920" t="s">
        <v>2423</v>
      </c>
      <c r="B218" s="1920"/>
      <c r="C218" s="1921" t="s">
        <v>2424</v>
      </c>
      <c r="D218" s="1921" t="s">
        <v>2425</v>
      </c>
      <c r="F218" s="1933">
        <f>SUM(F213:F217)</f>
        <v>209003031</v>
      </c>
      <c r="G218" s="1933">
        <f t="shared" ref="G218:H218" si="49">SUM(G213:G217)</f>
        <v>262523</v>
      </c>
      <c r="H218" s="1918">
        <f t="shared" si="49"/>
        <v>1392436</v>
      </c>
    </row>
    <row r="219" spans="1:12">
      <c r="A219" s="1913" t="s">
        <v>1243</v>
      </c>
      <c r="B219" s="1913" t="s">
        <v>2242</v>
      </c>
      <c r="C219" s="1919" t="s">
        <v>2415</v>
      </c>
      <c r="D219" s="1919" t="s">
        <v>804</v>
      </c>
      <c r="E219" s="1913" t="s">
        <v>1346</v>
      </c>
      <c r="F219" s="1931">
        <v>1818171</v>
      </c>
      <c r="G219" s="1931">
        <v>0</v>
      </c>
      <c r="H219" s="1914">
        <f>+F213-F219</f>
        <v>0</v>
      </c>
      <c r="J219" s="1931">
        <f>+F219</f>
        <v>1818171</v>
      </c>
      <c r="K219" s="1931">
        <f t="shared" ref="K219:L221" si="50">+G150+G156+G162+G168+G174+G180+G186+G195+G201+G207+G213+G219</f>
        <v>531882</v>
      </c>
      <c r="L219" s="1931">
        <f t="shared" si="50"/>
        <v>10000001</v>
      </c>
    </row>
    <row r="220" spans="1:12">
      <c r="A220" s="1913" t="s">
        <v>1246</v>
      </c>
      <c r="B220" s="1913" t="s">
        <v>2245</v>
      </c>
      <c r="C220" s="1919" t="s">
        <v>2426</v>
      </c>
      <c r="D220" s="1919" t="s">
        <v>2427</v>
      </c>
      <c r="E220" s="1913" t="s">
        <v>1349</v>
      </c>
      <c r="F220" s="1931">
        <v>67819868</v>
      </c>
      <c r="G220" s="1931">
        <v>52890</v>
      </c>
      <c r="H220" s="1914">
        <f t="shared" ref="H220:H223" si="51">+F214-F220</f>
        <v>426541</v>
      </c>
      <c r="J220" s="1931">
        <f t="shared" ref="J220:J223" si="52">+F220</f>
        <v>67819868</v>
      </c>
      <c r="K220" s="1931">
        <f t="shared" si="50"/>
        <v>644049</v>
      </c>
      <c r="L220" s="1931">
        <f t="shared" si="50"/>
        <v>5118492</v>
      </c>
    </row>
    <row r="221" spans="1:12">
      <c r="A221" s="1913" t="s">
        <v>1372</v>
      </c>
      <c r="B221" s="1913" t="s">
        <v>2248</v>
      </c>
      <c r="C221" s="1919" t="s">
        <v>2428</v>
      </c>
      <c r="D221" s="1919" t="s">
        <v>2429</v>
      </c>
      <c r="E221" s="1913" t="s">
        <v>1242</v>
      </c>
      <c r="F221" s="1931">
        <v>23773560</v>
      </c>
      <c r="G221" s="1931">
        <v>122610</v>
      </c>
      <c r="H221" s="1914">
        <f t="shared" si="51"/>
        <v>566040</v>
      </c>
      <c r="J221" s="1931">
        <f t="shared" si="52"/>
        <v>23773560</v>
      </c>
      <c r="K221" s="1931">
        <f t="shared" si="50"/>
        <v>497861</v>
      </c>
      <c r="L221" s="1931">
        <f t="shared" si="50"/>
        <v>2264160</v>
      </c>
    </row>
    <row r="222" spans="1:12">
      <c r="A222" s="1913" t="s">
        <v>2249</v>
      </c>
      <c r="B222" s="1913" t="s">
        <v>2250</v>
      </c>
      <c r="C222" s="1932" t="s">
        <v>2419</v>
      </c>
      <c r="D222" s="1919" t="s">
        <v>2430</v>
      </c>
      <c r="E222" s="1913" t="s">
        <v>2409</v>
      </c>
      <c r="F222" s="1931">
        <v>47385571</v>
      </c>
      <c r="G222" s="1931">
        <v>124222</v>
      </c>
      <c r="H222" s="1914">
        <f t="shared" si="51"/>
        <v>52614429</v>
      </c>
      <c r="J222" s="1931">
        <f t="shared" si="52"/>
        <v>47385571</v>
      </c>
      <c r="K222" s="1931">
        <f>+G198+G204+G210+G216+G222</f>
        <v>389641</v>
      </c>
      <c r="L222" s="1931">
        <f>+H198+H204+H210+H216+H222</f>
        <v>52614429</v>
      </c>
    </row>
    <row r="223" spans="1:12">
      <c r="A223" s="1913" t="s">
        <v>2252</v>
      </c>
      <c r="B223" s="1913" t="s">
        <v>2410</v>
      </c>
      <c r="C223" s="1919" t="s">
        <v>2431</v>
      </c>
      <c r="D223" s="1919" t="s">
        <v>2432</v>
      </c>
      <c r="E223" s="1913" t="s">
        <v>2411</v>
      </c>
      <c r="F223" s="1931">
        <v>14542045</v>
      </c>
      <c r="G223" s="1931">
        <v>61473</v>
      </c>
      <c r="H223" s="1914">
        <f t="shared" si="51"/>
        <v>56806</v>
      </c>
      <c r="J223" s="1931">
        <f t="shared" si="52"/>
        <v>14542045</v>
      </c>
      <c r="K223" s="1931">
        <f>+G154+G160+G166+G172+G178+G184+G190+G199+G205+G211+G217+G223+G194+G189+G183+G177+G171+G165+G159+G153</f>
        <v>1015095</v>
      </c>
      <c r="L223" s="1931">
        <f>+H154+H160+H166+H172+H178+H184+H190+H199+H205+H211+H217+H223+H194+H189+H183+H177+H171+H165+H159+H153</f>
        <v>801255</v>
      </c>
    </row>
    <row r="224" spans="1:12">
      <c r="A224" s="1920" t="s">
        <v>2433</v>
      </c>
      <c r="B224" s="1920"/>
      <c r="C224" s="1921" t="s">
        <v>2434</v>
      </c>
      <c r="D224" s="1921" t="s">
        <v>2435</v>
      </c>
      <c r="F224" s="1933">
        <f>SUM(F219:F223)</f>
        <v>155339215</v>
      </c>
      <c r="G224" s="1933">
        <f t="shared" ref="G224:H224" si="53">SUM(G219:G223)</f>
        <v>361195</v>
      </c>
      <c r="H224" s="1918">
        <f t="shared" si="53"/>
        <v>53663816</v>
      </c>
      <c r="J224" s="1933">
        <f>SUM(J219:J223)</f>
        <v>155339215</v>
      </c>
      <c r="K224" s="1933">
        <f t="shared" ref="K224:L224" si="54">SUM(K219:K223)</f>
        <v>3078528</v>
      </c>
      <c r="L224" s="1933">
        <f t="shared" si="54"/>
        <v>70798337</v>
      </c>
    </row>
    <row r="225" spans="1:10" outlineLevel="1">
      <c r="A225" s="1924" t="s">
        <v>1243</v>
      </c>
      <c r="B225" s="1924" t="s">
        <v>2242</v>
      </c>
      <c r="C225" s="1934" t="s">
        <v>804</v>
      </c>
      <c r="D225" s="1935" t="s">
        <v>2436</v>
      </c>
      <c r="E225" s="1913" t="s">
        <v>1346</v>
      </c>
      <c r="F225" s="1914">
        <v>0</v>
      </c>
      <c r="G225" s="1914">
        <v>18255</v>
      </c>
      <c r="H225" s="1914">
        <f>+F219-F225</f>
        <v>1818171</v>
      </c>
    </row>
    <row r="226" spans="1:10" outlineLevel="1">
      <c r="A226" s="1913" t="s">
        <v>1246</v>
      </c>
      <c r="B226" s="1913" t="s">
        <v>2245</v>
      </c>
      <c r="C226" s="1936" t="s">
        <v>2437</v>
      </c>
      <c r="D226" s="1936" t="s">
        <v>2438</v>
      </c>
      <c r="E226" s="1913" t="s">
        <v>1349</v>
      </c>
      <c r="F226" s="1914">
        <v>67393327</v>
      </c>
      <c r="G226" s="1914">
        <v>52560</v>
      </c>
      <c r="H226" s="1914">
        <f t="shared" ref="H226:H229" si="55">+F220-F226</f>
        <v>426541</v>
      </c>
    </row>
    <row r="227" spans="1:10" outlineLevel="1">
      <c r="A227" s="1913" t="s">
        <v>1372</v>
      </c>
      <c r="B227" s="1913" t="s">
        <v>2248</v>
      </c>
      <c r="C227" s="1936" t="s">
        <v>2428</v>
      </c>
      <c r="D227" s="1936" t="s">
        <v>804</v>
      </c>
      <c r="E227" s="1913" t="s">
        <v>1242</v>
      </c>
      <c r="F227" s="1914">
        <v>23773560</v>
      </c>
      <c r="G227" s="1914">
        <v>0</v>
      </c>
      <c r="H227" s="1914">
        <f t="shared" si="55"/>
        <v>0</v>
      </c>
    </row>
    <row r="228" spans="1:10" outlineLevel="1">
      <c r="A228" s="1913" t="s">
        <v>2249</v>
      </c>
      <c r="B228" s="1913" t="s">
        <v>2250</v>
      </c>
      <c r="C228" s="1937" t="s">
        <v>2439</v>
      </c>
      <c r="D228" s="1936" t="s">
        <v>2440</v>
      </c>
      <c r="E228" s="1913" t="s">
        <v>2409</v>
      </c>
      <c r="F228" s="1914">
        <v>47385571</v>
      </c>
      <c r="G228" s="1914">
        <v>7581</v>
      </c>
      <c r="H228" s="1914">
        <f t="shared" si="55"/>
        <v>0</v>
      </c>
    </row>
    <row r="229" spans="1:10" outlineLevel="1">
      <c r="A229" s="1913" t="s">
        <v>2252</v>
      </c>
      <c r="B229" s="1913" t="s">
        <v>2410</v>
      </c>
      <c r="C229" s="1936" t="s">
        <v>2441</v>
      </c>
      <c r="D229" s="1936" t="s">
        <v>2442</v>
      </c>
      <c r="E229" s="1913" t="s">
        <v>2411</v>
      </c>
      <c r="F229" s="1914">
        <v>14485240</v>
      </c>
      <c r="G229" s="1914">
        <v>61234</v>
      </c>
      <c r="H229" s="1914">
        <f t="shared" si="55"/>
        <v>56805</v>
      </c>
      <c r="J229" s="1931">
        <f>+H229*12</f>
        <v>681660</v>
      </c>
    </row>
    <row r="230" spans="1:10" outlineLevel="1">
      <c r="A230" s="1920" t="s">
        <v>2443</v>
      </c>
      <c r="B230" s="1920"/>
      <c r="C230" s="1938" t="s">
        <v>2444</v>
      </c>
      <c r="D230" s="1938" t="s">
        <v>2445</v>
      </c>
      <c r="F230" s="1918">
        <f>SUM(F225:F229)</f>
        <v>153037698</v>
      </c>
      <c r="G230" s="1918">
        <f t="shared" ref="G230" si="56">SUM(G225:G229)</f>
        <v>139630</v>
      </c>
      <c r="H230" s="1918">
        <f>SUM(H225:H229)</f>
        <v>2301517</v>
      </c>
    </row>
    <row r="231" spans="1:10" outlineLevel="1">
      <c r="A231" s="1913" t="s">
        <v>1246</v>
      </c>
      <c r="B231" s="1913" t="s">
        <v>2245</v>
      </c>
      <c r="C231" s="1936" t="s">
        <v>2446</v>
      </c>
      <c r="D231" s="1936" t="s">
        <v>2447</v>
      </c>
      <c r="E231" s="1913" t="s">
        <v>1349</v>
      </c>
      <c r="F231" s="1914">
        <v>66966786</v>
      </c>
      <c r="G231" s="1914">
        <v>48860</v>
      </c>
      <c r="H231" s="1914">
        <f>+F226-F231</f>
        <v>426541</v>
      </c>
    </row>
    <row r="232" spans="1:10" outlineLevel="1">
      <c r="A232" s="1913" t="s">
        <v>1372</v>
      </c>
      <c r="B232" s="1913" t="s">
        <v>2248</v>
      </c>
      <c r="C232" s="1936" t="s">
        <v>2428</v>
      </c>
      <c r="D232" s="1936" t="s">
        <v>804</v>
      </c>
      <c r="E232" s="1913" t="s">
        <v>1242</v>
      </c>
      <c r="F232" s="1914">
        <v>23773560</v>
      </c>
      <c r="G232" s="1914">
        <v>0</v>
      </c>
      <c r="H232" s="1914">
        <f t="shared" ref="H232:H234" si="57">+F227-F232</f>
        <v>0</v>
      </c>
    </row>
    <row r="233" spans="1:10" outlineLevel="1">
      <c r="A233" s="1913" t="s">
        <v>2249</v>
      </c>
      <c r="B233" s="1913" t="s">
        <v>2250</v>
      </c>
      <c r="C233" s="1936" t="s">
        <v>2439</v>
      </c>
      <c r="D233" s="1936" t="s">
        <v>2448</v>
      </c>
      <c r="E233" s="1913" t="s">
        <v>2409</v>
      </c>
      <c r="F233" s="1914">
        <v>47385571</v>
      </c>
      <c r="G233" s="1914">
        <v>13037</v>
      </c>
      <c r="H233" s="1914">
        <f t="shared" si="57"/>
        <v>0</v>
      </c>
    </row>
    <row r="234" spans="1:10" outlineLevel="1">
      <c r="A234" s="1913" t="s">
        <v>2252</v>
      </c>
      <c r="B234" s="1913" t="s">
        <v>2410</v>
      </c>
      <c r="C234" s="1936" t="s">
        <v>2449</v>
      </c>
      <c r="D234" s="1936" t="s">
        <v>2450</v>
      </c>
      <c r="E234" s="1913" t="s">
        <v>2411</v>
      </c>
      <c r="F234" s="1914">
        <v>14428435</v>
      </c>
      <c r="G234" s="1914">
        <v>57059</v>
      </c>
      <c r="H234" s="1914">
        <f t="shared" si="57"/>
        <v>56805</v>
      </c>
    </row>
    <row r="235" spans="1:10" outlineLevel="1">
      <c r="A235" s="1920" t="s">
        <v>2451</v>
      </c>
      <c r="B235" s="1920"/>
      <c r="C235" s="1938" t="s">
        <v>2452</v>
      </c>
      <c r="D235" s="1938" t="s">
        <v>2453</v>
      </c>
      <c r="F235" s="1918">
        <f>SUM(F231:F234)</f>
        <v>152554352</v>
      </c>
      <c r="G235" s="1918">
        <f t="shared" ref="G235:H235" si="58">SUM(G231:G234)</f>
        <v>118956</v>
      </c>
      <c r="H235" s="1918">
        <f t="shared" si="58"/>
        <v>483346</v>
      </c>
    </row>
    <row r="236" spans="1:10" outlineLevel="1">
      <c r="A236" s="1913" t="s">
        <v>1246</v>
      </c>
      <c r="B236" s="1913" t="s">
        <v>2245</v>
      </c>
      <c r="C236" s="1936" t="s">
        <v>2454</v>
      </c>
      <c r="D236" s="1936" t="s">
        <v>2455</v>
      </c>
      <c r="E236" s="1913" t="s">
        <v>1349</v>
      </c>
      <c r="F236" s="1914">
        <v>66540245</v>
      </c>
      <c r="G236" s="1914">
        <v>51899</v>
      </c>
      <c r="H236" s="1914">
        <f>+F231-F236</f>
        <v>426541</v>
      </c>
    </row>
    <row r="237" spans="1:10" outlineLevel="1">
      <c r="A237" s="1913" t="s">
        <v>1372</v>
      </c>
      <c r="B237" s="1913" t="s">
        <v>2248</v>
      </c>
      <c r="C237" s="1936" t="s">
        <v>2456</v>
      </c>
      <c r="D237" s="1936" t="s">
        <v>2457</v>
      </c>
      <c r="E237" s="1913" t="s">
        <v>1242</v>
      </c>
      <c r="F237" s="1914">
        <v>23207520</v>
      </c>
      <c r="G237" s="1914">
        <v>114608</v>
      </c>
      <c r="H237" s="1914">
        <f>+F232-F237</f>
        <v>566040</v>
      </c>
      <c r="J237" s="1931">
        <f>+H237*4</f>
        <v>2264160</v>
      </c>
    </row>
    <row r="238" spans="1:10" outlineLevel="1">
      <c r="A238" s="1913" t="s">
        <v>2249</v>
      </c>
      <c r="B238" s="1913" t="s">
        <v>2250</v>
      </c>
      <c r="C238" s="1936" t="s">
        <v>2458</v>
      </c>
      <c r="D238" s="1936" t="s">
        <v>2459</v>
      </c>
      <c r="E238" s="1913" t="s">
        <v>2460</v>
      </c>
      <c r="F238" s="1914">
        <v>52487461</v>
      </c>
      <c r="G238" s="1914">
        <v>18943</v>
      </c>
      <c r="H238" s="1914">
        <v>0</v>
      </c>
    </row>
    <row r="239" spans="1:10" outlineLevel="1">
      <c r="A239" s="1913" t="s">
        <v>2252</v>
      </c>
      <c r="B239" s="1913" t="s">
        <v>2410</v>
      </c>
      <c r="C239" s="1936" t="s">
        <v>2461</v>
      </c>
      <c r="D239" s="1936" t="s">
        <v>2462</v>
      </c>
      <c r="E239" s="1913" t="s">
        <v>2463</v>
      </c>
      <c r="F239" s="1914">
        <v>14371631</v>
      </c>
      <c r="G239" s="1914">
        <v>60755</v>
      </c>
      <c r="H239" s="1914">
        <f t="shared" ref="H239" si="59">+F234-F239</f>
        <v>56804</v>
      </c>
    </row>
    <row r="240" spans="1:10" outlineLevel="1">
      <c r="A240" s="1920" t="s">
        <v>2464</v>
      </c>
      <c r="B240" s="1920"/>
      <c r="C240" s="1938" t="s">
        <v>2465</v>
      </c>
      <c r="D240" s="1938" t="s">
        <v>2466</v>
      </c>
      <c r="F240" s="1918">
        <f>SUM(F236:F239)</f>
        <v>156606857</v>
      </c>
      <c r="G240" s="1918">
        <f t="shared" ref="G240:H240" si="60">SUM(G236:G239)</f>
        <v>246205</v>
      </c>
      <c r="H240" s="1918">
        <f t="shared" si="60"/>
        <v>1049385</v>
      </c>
    </row>
    <row r="241" spans="1:8" outlineLevel="1">
      <c r="A241" s="1913" t="s">
        <v>1246</v>
      </c>
      <c r="B241" s="1913" t="s">
        <v>2245</v>
      </c>
      <c r="C241" s="1936" t="s">
        <v>2467</v>
      </c>
      <c r="D241" s="1936" t="s">
        <v>2468</v>
      </c>
      <c r="E241" s="1913" t="s">
        <v>1349</v>
      </c>
      <c r="F241" s="1914">
        <v>66113704</v>
      </c>
      <c r="G241" s="1914">
        <v>49905</v>
      </c>
      <c r="H241" s="1914">
        <f>+F236-F241</f>
        <v>426541</v>
      </c>
    </row>
    <row r="242" spans="1:8" outlineLevel="1">
      <c r="A242" s="1913" t="s">
        <v>1372</v>
      </c>
      <c r="B242" s="1913" t="s">
        <v>2248</v>
      </c>
      <c r="C242" s="1936" t="s">
        <v>2456</v>
      </c>
      <c r="D242" s="1936" t="s">
        <v>804</v>
      </c>
      <c r="E242" s="1913" t="s">
        <v>1242</v>
      </c>
      <c r="F242" s="1914">
        <v>23207520</v>
      </c>
      <c r="G242" s="1914">
        <v>0</v>
      </c>
      <c r="H242" s="1914">
        <f>+F237-F242</f>
        <v>0</v>
      </c>
    </row>
    <row r="243" spans="1:8" outlineLevel="1">
      <c r="A243" s="1913" t="s">
        <v>2249</v>
      </c>
      <c r="B243" s="1913" t="s">
        <v>2250</v>
      </c>
      <c r="C243" s="1936" t="s">
        <v>2469</v>
      </c>
      <c r="D243" s="1936" t="s">
        <v>2470</v>
      </c>
      <c r="E243" s="1913" t="s">
        <v>2409</v>
      </c>
      <c r="F243" s="1914">
        <v>64146313</v>
      </c>
      <c r="G243" s="1914">
        <v>43989</v>
      </c>
      <c r="H243" s="1914">
        <v>0</v>
      </c>
    </row>
    <row r="244" spans="1:8" outlineLevel="1">
      <c r="A244" s="1913" t="s">
        <v>2252</v>
      </c>
      <c r="B244" s="1913" t="s">
        <v>2410</v>
      </c>
      <c r="C244" s="1936" t="s">
        <v>2471</v>
      </c>
      <c r="D244" s="1936" t="s">
        <v>2472</v>
      </c>
      <c r="E244" s="1913" t="s">
        <v>2411</v>
      </c>
      <c r="F244" s="1914">
        <v>14314826</v>
      </c>
      <c r="G244" s="1914">
        <v>58564</v>
      </c>
      <c r="H244" s="1914">
        <f t="shared" ref="H244" si="61">+F239-F244</f>
        <v>56805</v>
      </c>
    </row>
    <row r="245" spans="1:8" outlineLevel="1">
      <c r="A245" s="1920" t="s">
        <v>2473</v>
      </c>
      <c r="B245" s="1920"/>
      <c r="C245" s="1938" t="s">
        <v>2474</v>
      </c>
      <c r="D245" s="1938" t="s">
        <v>2475</v>
      </c>
      <c r="F245" s="1918">
        <f>SUM(F241:F244)</f>
        <v>167782363</v>
      </c>
      <c r="G245" s="1918">
        <f t="shared" ref="G245:H245" si="62">SUM(G241:G244)</f>
        <v>152458</v>
      </c>
      <c r="H245" s="1918">
        <f t="shared" si="62"/>
        <v>483346</v>
      </c>
    </row>
    <row r="246" spans="1:8" outlineLevel="1">
      <c r="A246" s="1913" t="s">
        <v>1246</v>
      </c>
      <c r="B246" s="1913" t="s">
        <v>2245</v>
      </c>
      <c r="C246" s="1936" t="s">
        <v>2476</v>
      </c>
      <c r="D246" s="1936" t="s">
        <v>2477</v>
      </c>
      <c r="E246" s="1913" t="s">
        <v>1349</v>
      </c>
      <c r="F246" s="1914">
        <v>65687163</v>
      </c>
      <c r="G246" s="1914">
        <v>51238</v>
      </c>
      <c r="H246" s="1914">
        <f>+F241-F246</f>
        <v>426541</v>
      </c>
    </row>
    <row r="247" spans="1:8" outlineLevel="1">
      <c r="A247" s="1913" t="s">
        <v>1372</v>
      </c>
      <c r="B247" s="1913" t="s">
        <v>2248</v>
      </c>
      <c r="C247" s="1936" t="s">
        <v>2456</v>
      </c>
      <c r="D247" s="1936" t="s">
        <v>804</v>
      </c>
      <c r="E247" s="1913" t="s">
        <v>1242</v>
      </c>
      <c r="F247" s="1914">
        <v>23207520</v>
      </c>
      <c r="G247" s="1914">
        <v>0</v>
      </c>
      <c r="H247" s="1914">
        <f>+F242-F247</f>
        <v>0</v>
      </c>
    </row>
    <row r="248" spans="1:8" outlineLevel="1">
      <c r="A248" s="1913" t="s">
        <v>2249</v>
      </c>
      <c r="B248" s="1913" t="s">
        <v>2250</v>
      </c>
      <c r="C248" s="1936" t="s">
        <v>2478</v>
      </c>
      <c r="D248" s="1936" t="s">
        <v>2479</v>
      </c>
      <c r="E248" s="1913" t="s">
        <v>2409</v>
      </c>
      <c r="F248" s="1914">
        <v>72997128</v>
      </c>
      <c r="G248" s="1914">
        <v>65266</v>
      </c>
      <c r="H248" s="1914">
        <v>0</v>
      </c>
    </row>
    <row r="249" spans="1:8" outlineLevel="1">
      <c r="A249" s="1913" t="s">
        <v>2252</v>
      </c>
      <c r="B249" s="1913" t="s">
        <v>2410</v>
      </c>
      <c r="C249" s="1936" t="s">
        <v>2480</v>
      </c>
      <c r="D249" s="1936" t="s">
        <v>2481</v>
      </c>
      <c r="E249" s="1913" t="s">
        <v>2411</v>
      </c>
      <c r="F249" s="1914">
        <v>14258021</v>
      </c>
      <c r="G249" s="1914">
        <v>60277</v>
      </c>
      <c r="H249" s="1914">
        <f t="shared" ref="H249" si="63">+F244-F249</f>
        <v>56805</v>
      </c>
    </row>
    <row r="250" spans="1:8" outlineLevel="1">
      <c r="A250" s="1920" t="s">
        <v>2482</v>
      </c>
      <c r="B250" s="1920"/>
      <c r="C250" s="1938" t="s">
        <v>2483</v>
      </c>
      <c r="D250" s="1938" t="s">
        <v>2484</v>
      </c>
      <c r="F250" s="1918">
        <f>SUM(F246:F249)</f>
        <v>176149832</v>
      </c>
      <c r="G250" s="1918">
        <f t="shared" ref="G250:H250" si="64">SUM(G246:G249)</f>
        <v>176781</v>
      </c>
      <c r="H250" s="1918">
        <f t="shared" si="64"/>
        <v>483346</v>
      </c>
    </row>
    <row r="251" spans="1:8" outlineLevel="1">
      <c r="A251" s="1913" t="s">
        <v>1246</v>
      </c>
      <c r="B251" s="1913" t="s">
        <v>2245</v>
      </c>
      <c r="C251" s="1936" t="s">
        <v>2485</v>
      </c>
      <c r="D251" s="1936" t="s">
        <v>2486</v>
      </c>
      <c r="E251" s="1913" t="s">
        <v>1349</v>
      </c>
      <c r="F251" s="1914">
        <v>65260622</v>
      </c>
      <c r="G251" s="1914">
        <v>49265</v>
      </c>
      <c r="H251" s="1914">
        <f>+F246-F251</f>
        <v>426541</v>
      </c>
    </row>
    <row r="252" spans="1:8" outlineLevel="1">
      <c r="A252" s="1913" t="s">
        <v>1372</v>
      </c>
      <c r="B252" s="1913" t="s">
        <v>2248</v>
      </c>
      <c r="C252" s="1936" t="s">
        <v>2487</v>
      </c>
      <c r="D252" s="1936" t="s">
        <v>2488</v>
      </c>
      <c r="E252" s="1913" t="s">
        <v>1242</v>
      </c>
      <c r="F252" s="1914">
        <v>22641480</v>
      </c>
      <c r="G252" s="1914">
        <v>115650</v>
      </c>
      <c r="H252" s="1914">
        <f t="shared" ref="H252:H277" si="65">+F247-F252</f>
        <v>566040</v>
      </c>
    </row>
    <row r="253" spans="1:8" outlineLevel="1">
      <c r="A253" s="1913" t="s">
        <v>2249</v>
      </c>
      <c r="B253" s="1913" t="s">
        <v>2250</v>
      </c>
      <c r="C253" s="1936" t="s">
        <v>2489</v>
      </c>
      <c r="D253" s="1936" t="s">
        <v>2490</v>
      </c>
      <c r="E253" s="1913" t="s">
        <v>2409</v>
      </c>
      <c r="F253" s="1914">
        <v>72997813</v>
      </c>
      <c r="G253" s="1914">
        <v>33249</v>
      </c>
      <c r="H253" s="1914">
        <v>0</v>
      </c>
    </row>
    <row r="254" spans="1:8" outlineLevel="1">
      <c r="A254" s="1913" t="s">
        <v>2252</v>
      </c>
      <c r="B254" s="1913" t="s">
        <v>2410</v>
      </c>
      <c r="C254" s="1936" t="s">
        <v>2491</v>
      </c>
      <c r="D254" s="1936" t="s">
        <v>2492</v>
      </c>
      <c r="E254" s="1913" t="s">
        <v>2411</v>
      </c>
      <c r="F254" s="1914">
        <v>14201217</v>
      </c>
      <c r="G254" s="1914">
        <v>58101</v>
      </c>
      <c r="H254" s="1914">
        <f t="shared" si="65"/>
        <v>56804</v>
      </c>
    </row>
    <row r="255" spans="1:8" outlineLevel="1">
      <c r="A255" s="1920" t="s">
        <v>2493</v>
      </c>
      <c r="B255" s="1920"/>
      <c r="C255" s="1938" t="s">
        <v>2494</v>
      </c>
      <c r="D255" s="1938" t="s">
        <v>2495</v>
      </c>
      <c r="F255" s="1918">
        <f>SUM(F251:F254)</f>
        <v>175101132</v>
      </c>
      <c r="G255" s="1918">
        <f t="shared" ref="G255:H255" si="66">SUM(G251:G254)</f>
        <v>256265</v>
      </c>
      <c r="H255" s="1918">
        <f t="shared" si="66"/>
        <v>1049385</v>
      </c>
    </row>
    <row r="256" spans="1:8" outlineLevel="1">
      <c r="A256" s="1913" t="s">
        <v>1246</v>
      </c>
      <c r="B256" s="1913" t="s">
        <v>2245</v>
      </c>
      <c r="C256" s="1936" t="s">
        <v>2496</v>
      </c>
      <c r="D256" s="1936" t="s">
        <v>2497</v>
      </c>
      <c r="E256" s="1913" t="s">
        <v>1349</v>
      </c>
      <c r="F256" s="1914">
        <v>64834081</v>
      </c>
      <c r="G256" s="1914">
        <v>50576</v>
      </c>
      <c r="H256" s="1914">
        <f t="shared" si="65"/>
        <v>426541</v>
      </c>
    </row>
    <row r="257" spans="1:16" outlineLevel="1">
      <c r="A257" s="1913" t="s">
        <v>1372</v>
      </c>
      <c r="B257" s="1913" t="s">
        <v>2248</v>
      </c>
      <c r="C257" s="1936" t="s">
        <v>2487</v>
      </c>
      <c r="D257" s="1936" t="s">
        <v>804</v>
      </c>
      <c r="E257" s="1913" t="s">
        <v>1242</v>
      </c>
      <c r="F257" s="1914">
        <v>22641480</v>
      </c>
      <c r="G257" s="1914">
        <v>0</v>
      </c>
      <c r="H257" s="1914">
        <f t="shared" si="65"/>
        <v>0</v>
      </c>
    </row>
    <row r="258" spans="1:16" outlineLevel="1">
      <c r="A258" s="1913" t="s">
        <v>2249</v>
      </c>
      <c r="B258" s="1913" t="s">
        <v>2250</v>
      </c>
      <c r="C258" s="1936" t="s">
        <v>2498</v>
      </c>
      <c r="D258" s="1936" t="s">
        <v>2499</v>
      </c>
      <c r="E258" s="1913" t="s">
        <v>2409</v>
      </c>
      <c r="F258" s="1914">
        <v>78777128</v>
      </c>
      <c r="G258" s="1914">
        <v>42996</v>
      </c>
      <c r="H258" s="1914">
        <v>0</v>
      </c>
    </row>
    <row r="259" spans="1:16" outlineLevel="1">
      <c r="A259" s="1913" t="s">
        <v>2252</v>
      </c>
      <c r="B259" s="1913" t="s">
        <v>2410</v>
      </c>
      <c r="C259" s="1936" t="s">
        <v>2500</v>
      </c>
      <c r="D259" s="1936" t="s">
        <v>2501</v>
      </c>
      <c r="E259" s="1913" t="s">
        <v>2411</v>
      </c>
      <c r="F259" s="1914">
        <v>14144411</v>
      </c>
      <c r="G259" s="1914">
        <v>59799</v>
      </c>
      <c r="H259" s="1914">
        <f t="shared" si="65"/>
        <v>56806</v>
      </c>
    </row>
    <row r="260" spans="1:16" outlineLevel="1">
      <c r="A260" s="1920" t="s">
        <v>2502</v>
      </c>
      <c r="B260" s="1920"/>
      <c r="C260" s="1938" t="s">
        <v>2503</v>
      </c>
      <c r="D260" s="1938" t="s">
        <v>2504</v>
      </c>
      <c r="F260" s="1918">
        <f>SUM(F256:F259)</f>
        <v>180397100</v>
      </c>
      <c r="G260" s="1918">
        <f t="shared" ref="G260:H260" si="67">SUM(G256:G259)</f>
        <v>153371</v>
      </c>
      <c r="H260" s="1918">
        <f t="shared" si="67"/>
        <v>483347</v>
      </c>
    </row>
    <row r="261" spans="1:16" outlineLevel="1">
      <c r="A261" s="1913" t="s">
        <v>1246</v>
      </c>
      <c r="B261" s="1913" t="s">
        <v>2245</v>
      </c>
      <c r="C261" s="1936" t="s">
        <v>2505</v>
      </c>
      <c r="D261" s="1936" t="s">
        <v>2506</v>
      </c>
      <c r="E261" s="1913" t="s">
        <v>1349</v>
      </c>
      <c r="F261" s="1914">
        <v>64407540</v>
      </c>
      <c r="G261" s="1914">
        <v>50246</v>
      </c>
      <c r="H261" s="1914">
        <f t="shared" si="65"/>
        <v>426541</v>
      </c>
    </row>
    <row r="262" spans="1:16" outlineLevel="1">
      <c r="A262" s="1913" t="s">
        <v>1372</v>
      </c>
      <c r="B262" s="1913" t="s">
        <v>2248</v>
      </c>
      <c r="C262" s="1936" t="s">
        <v>2487</v>
      </c>
      <c r="D262" s="1936" t="s">
        <v>804</v>
      </c>
      <c r="E262" s="1913" t="s">
        <v>1242</v>
      </c>
      <c r="F262" s="1914">
        <v>22641480</v>
      </c>
      <c r="G262" s="1914">
        <v>0</v>
      </c>
      <c r="H262" s="1914">
        <f t="shared" si="65"/>
        <v>0</v>
      </c>
    </row>
    <row r="263" spans="1:16">
      <c r="A263" s="1913" t="s">
        <v>2249</v>
      </c>
      <c r="B263" s="1913" t="s">
        <v>2250</v>
      </c>
      <c r="C263" s="1936" t="s">
        <v>2507</v>
      </c>
      <c r="D263" s="1936" t="s">
        <v>2508</v>
      </c>
      <c r="E263" s="1913" t="s">
        <v>2409</v>
      </c>
      <c r="F263" s="1914">
        <v>78945574</v>
      </c>
      <c r="G263" s="1914">
        <v>50292</v>
      </c>
      <c r="H263" s="1914">
        <v>0</v>
      </c>
    </row>
    <row r="264" spans="1:16">
      <c r="A264" s="1913" t="s">
        <v>2252</v>
      </c>
      <c r="B264" s="1913" t="s">
        <v>2410</v>
      </c>
      <c r="C264" s="1936" t="s">
        <v>2509</v>
      </c>
      <c r="D264" s="1936" t="s">
        <v>2510</v>
      </c>
      <c r="E264" s="1913" t="s">
        <v>2411</v>
      </c>
      <c r="F264" s="1914">
        <v>14087606</v>
      </c>
      <c r="G264" s="1914">
        <v>59559</v>
      </c>
      <c r="H264" s="1914">
        <f t="shared" si="65"/>
        <v>56805</v>
      </c>
    </row>
    <row r="265" spans="1:16">
      <c r="A265" s="1920" t="s">
        <v>2511</v>
      </c>
      <c r="B265" s="1920"/>
      <c r="C265" s="1938" t="s">
        <v>2512</v>
      </c>
      <c r="D265" s="1938" t="s">
        <v>2513</v>
      </c>
      <c r="F265" s="1918">
        <f>SUM(F261:F264)</f>
        <v>180082200</v>
      </c>
      <c r="G265" s="1918">
        <f t="shared" ref="G265:H265" si="68">SUM(G261:G264)</f>
        <v>160097</v>
      </c>
      <c r="H265" s="1918">
        <f t="shared" si="68"/>
        <v>483346</v>
      </c>
    </row>
    <row r="266" spans="1:16">
      <c r="A266" s="1913" t="s">
        <v>1246</v>
      </c>
      <c r="B266" s="1913" t="s">
        <v>2245</v>
      </c>
      <c r="C266" s="1936" t="s">
        <v>2514</v>
      </c>
      <c r="D266" s="1936" t="s">
        <v>2515</v>
      </c>
      <c r="E266" s="1913" t="s">
        <v>1349</v>
      </c>
      <c r="F266" s="1914">
        <v>63980999</v>
      </c>
      <c r="G266" s="1914">
        <v>48305</v>
      </c>
      <c r="H266" s="1914">
        <f t="shared" si="65"/>
        <v>426541</v>
      </c>
      <c r="I266" s="1914"/>
    </row>
    <row r="267" spans="1:16">
      <c r="A267" s="1913" t="s">
        <v>1372</v>
      </c>
      <c r="B267" s="1913" t="s">
        <v>2248</v>
      </c>
      <c r="C267" s="1936" t="s">
        <v>2516</v>
      </c>
      <c r="D267" s="1936" t="s">
        <v>2517</v>
      </c>
      <c r="E267" s="1913" t="s">
        <v>1242</v>
      </c>
      <c r="F267" s="1914">
        <v>22075440</v>
      </c>
      <c r="G267" s="1914">
        <v>112830</v>
      </c>
      <c r="H267" s="1914">
        <f t="shared" si="65"/>
        <v>566040</v>
      </c>
      <c r="I267" s="1914"/>
    </row>
    <row r="268" spans="1:16">
      <c r="A268" s="1913" t="s">
        <v>2249</v>
      </c>
      <c r="B268" s="1913" t="s">
        <v>2250</v>
      </c>
      <c r="C268" s="1936" t="s">
        <v>2518</v>
      </c>
      <c r="D268" s="1936" t="s">
        <v>2519</v>
      </c>
      <c r="E268" s="1913" t="s">
        <v>2409</v>
      </c>
      <c r="F268" s="1914">
        <v>13920622</v>
      </c>
      <c r="G268" s="1914">
        <v>53951</v>
      </c>
      <c r="H268" s="1914">
        <f>+F263-F268</f>
        <v>65024952</v>
      </c>
      <c r="I268" s="1914"/>
    </row>
    <row r="269" spans="1:16">
      <c r="A269" s="1913" t="s">
        <v>2252</v>
      </c>
      <c r="B269" s="1913" t="s">
        <v>2410</v>
      </c>
      <c r="C269" s="1936" t="s">
        <v>2520</v>
      </c>
      <c r="D269" s="1936" t="s">
        <v>2521</v>
      </c>
      <c r="E269" s="1913" t="s">
        <v>2411</v>
      </c>
      <c r="F269" s="1914">
        <v>14030801</v>
      </c>
      <c r="G269" s="1914">
        <v>57406</v>
      </c>
      <c r="H269" s="1914">
        <f t="shared" si="65"/>
        <v>56805</v>
      </c>
    </row>
    <row r="270" spans="1:16">
      <c r="A270" s="1920" t="s">
        <v>2522</v>
      </c>
      <c r="B270" s="1920"/>
      <c r="C270" s="1938" t="s">
        <v>2523</v>
      </c>
      <c r="D270" s="1938" t="s">
        <v>2524</v>
      </c>
      <c r="F270" s="1918">
        <f>SUM(F266:F269)</f>
        <v>114007862</v>
      </c>
      <c r="G270" s="1918">
        <f t="shared" ref="G270:H270" si="69">SUM(G266:G269)</f>
        <v>272492</v>
      </c>
      <c r="H270" s="1918">
        <f t="shared" si="69"/>
        <v>66074338</v>
      </c>
    </row>
    <row r="271" spans="1:16">
      <c r="A271" s="1913" t="s">
        <v>1246</v>
      </c>
      <c r="B271" s="1913" t="s">
        <v>2245</v>
      </c>
      <c r="C271" s="1936" t="s">
        <v>2584</v>
      </c>
      <c r="D271" s="1936" t="s">
        <v>2585</v>
      </c>
      <c r="E271" s="1913" t="s">
        <v>1349</v>
      </c>
      <c r="F271" s="1914">
        <v>63554458</v>
      </c>
      <c r="G271" s="1914">
        <v>49585</v>
      </c>
      <c r="H271" s="1914">
        <f t="shared" si="65"/>
        <v>426541</v>
      </c>
      <c r="O271" s="1914"/>
      <c r="P271" s="1914"/>
    </row>
    <row r="272" spans="1:16">
      <c r="A272" s="1913" t="s">
        <v>1372</v>
      </c>
      <c r="B272" s="1913" t="s">
        <v>2248</v>
      </c>
      <c r="C272" s="1936" t="s">
        <v>2516</v>
      </c>
      <c r="D272" s="1936" t="s">
        <v>804</v>
      </c>
      <c r="E272" s="1913" t="s">
        <v>1242</v>
      </c>
      <c r="F272" s="1914">
        <v>22075440</v>
      </c>
      <c r="G272" s="1914">
        <v>0</v>
      </c>
      <c r="H272" s="1914">
        <f t="shared" si="65"/>
        <v>0</v>
      </c>
      <c r="O272" s="1914"/>
      <c r="P272" s="1914"/>
    </row>
    <row r="273" spans="1:16">
      <c r="A273" s="1913" t="s">
        <v>2249</v>
      </c>
      <c r="B273" s="1913" t="s">
        <v>2250</v>
      </c>
      <c r="C273" s="1936" t="s">
        <v>2518</v>
      </c>
      <c r="D273" s="1936" t="s">
        <v>2586</v>
      </c>
      <c r="E273" s="1913" t="s">
        <v>2409</v>
      </c>
      <c r="F273" s="1914">
        <v>13920622</v>
      </c>
      <c r="G273" s="1914">
        <v>58617</v>
      </c>
      <c r="H273" s="1914">
        <f t="shared" si="65"/>
        <v>0</v>
      </c>
      <c r="N273" s="1914"/>
      <c r="O273" s="1914"/>
      <c r="P273" s="1914"/>
    </row>
    <row r="274" spans="1:16">
      <c r="A274" s="1913" t="s">
        <v>2252</v>
      </c>
      <c r="B274" s="1913" t="s">
        <v>2410</v>
      </c>
      <c r="C274" s="1936" t="s">
        <v>2587</v>
      </c>
      <c r="D274" s="1936" t="s">
        <v>2588</v>
      </c>
      <c r="E274" s="1913" t="s">
        <v>2411</v>
      </c>
      <c r="F274" s="1914">
        <v>13973996</v>
      </c>
      <c r="G274" s="1914">
        <v>59081</v>
      </c>
      <c r="H274" s="1914">
        <f t="shared" si="65"/>
        <v>56805</v>
      </c>
      <c r="O274" s="1914"/>
      <c r="P274" s="1914"/>
    </row>
    <row r="275" spans="1:16">
      <c r="A275" s="1920" t="s">
        <v>2535</v>
      </c>
      <c r="B275" s="1920"/>
      <c r="C275" s="1938" t="s">
        <v>2589</v>
      </c>
      <c r="D275" s="1938" t="s">
        <v>2590</v>
      </c>
      <c r="F275" s="1918">
        <f>SUM(F271:F274)</f>
        <v>113524516</v>
      </c>
      <c r="G275" s="1918">
        <f t="shared" ref="G275:H275" si="70">SUM(G271:G274)</f>
        <v>167283</v>
      </c>
      <c r="H275" s="1918">
        <f t="shared" si="70"/>
        <v>483346</v>
      </c>
      <c r="O275" s="1914"/>
    </row>
    <row r="276" spans="1:16" ht="12.75">
      <c r="A276" t="s">
        <v>1246</v>
      </c>
      <c r="B276" t="s">
        <v>2245</v>
      </c>
      <c r="C276" s="2916" t="s">
        <v>2591</v>
      </c>
      <c r="D276" s="2916" t="s">
        <v>2592</v>
      </c>
      <c r="E276" t="s">
        <v>1349</v>
      </c>
      <c r="F276" s="1914">
        <v>63127917</v>
      </c>
      <c r="G276" s="1914">
        <v>47665</v>
      </c>
      <c r="H276" s="1914">
        <f>+F271-F276</f>
        <v>426541</v>
      </c>
      <c r="O276" s="1914"/>
    </row>
    <row r="277" spans="1:16" ht="12.75">
      <c r="A277" t="s">
        <v>1372</v>
      </c>
      <c r="B277" t="s">
        <v>2248</v>
      </c>
      <c r="C277" s="2916" t="s">
        <v>2516</v>
      </c>
      <c r="D277" s="2916" t="s">
        <v>804</v>
      </c>
      <c r="E277" t="s">
        <v>1242</v>
      </c>
      <c r="F277" s="1914">
        <v>22075440</v>
      </c>
      <c r="G277" s="1914">
        <v>0</v>
      </c>
      <c r="H277" s="1914">
        <f t="shared" si="65"/>
        <v>0</v>
      </c>
    </row>
    <row r="278" spans="1:16" ht="12.75">
      <c r="A278" t="s">
        <v>2249</v>
      </c>
      <c r="B278" t="s">
        <v>2250</v>
      </c>
      <c r="C278" s="2916" t="s">
        <v>2518</v>
      </c>
      <c r="D278" s="2916" t="s">
        <v>2593</v>
      </c>
      <c r="E278" t="s">
        <v>2594</v>
      </c>
      <c r="F278" s="1914">
        <v>13920622</v>
      </c>
      <c r="G278" s="1914">
        <v>56726</v>
      </c>
      <c r="H278" s="1914">
        <f>+F273-F278</f>
        <v>0</v>
      </c>
    </row>
    <row r="279" spans="1:16" ht="12.75">
      <c r="A279" t="s">
        <v>2252</v>
      </c>
      <c r="B279" t="s">
        <v>2595</v>
      </c>
      <c r="C279" s="2916" t="s">
        <v>2596</v>
      </c>
      <c r="D279" s="2916" t="s">
        <v>2597</v>
      </c>
      <c r="E279" t="s">
        <v>2598</v>
      </c>
      <c r="F279" s="1914">
        <v>13917192</v>
      </c>
      <c r="G279" s="1914">
        <v>56944</v>
      </c>
      <c r="H279" s="1914">
        <f>+F274-F279</f>
        <v>56804</v>
      </c>
    </row>
    <row r="280" spans="1:16" ht="12.75">
      <c r="A280" s="1228" t="s">
        <v>2536</v>
      </c>
      <c r="B280" s="1228"/>
      <c r="C280" s="2917" t="s">
        <v>2599</v>
      </c>
      <c r="D280" s="2917" t="s">
        <v>2600</v>
      </c>
      <c r="E280"/>
      <c r="F280" s="1918">
        <f>SUM(F276:F279)</f>
        <v>113041171</v>
      </c>
      <c r="G280" s="1918">
        <f t="shared" ref="G280:H280" si="71">SUM(G276:G279)</f>
        <v>161335</v>
      </c>
      <c r="H280" s="1918">
        <f t="shared" si="71"/>
        <v>483345</v>
      </c>
    </row>
    <row r="281" spans="1:16" ht="12.75">
      <c r="A281" t="s">
        <v>1246</v>
      </c>
      <c r="B281" t="s">
        <v>2620</v>
      </c>
      <c r="C281" s="2916" t="s">
        <v>2621</v>
      </c>
      <c r="D281" s="2916" t="s">
        <v>2622</v>
      </c>
      <c r="E281" t="s">
        <v>1349</v>
      </c>
      <c r="F281" s="1914">
        <v>62701376</v>
      </c>
      <c r="G281" s="1914">
        <v>48924</v>
      </c>
      <c r="H281" s="1914">
        <f t="shared" ref="H281:H284" si="72">+F276-F281</f>
        <v>426541</v>
      </c>
    </row>
    <row r="282" spans="1:16" ht="12.75">
      <c r="A282" t="s">
        <v>1372</v>
      </c>
      <c r="B282" t="s">
        <v>2623</v>
      </c>
      <c r="C282" s="2916" t="s">
        <v>2624</v>
      </c>
      <c r="D282" s="2916" t="s">
        <v>2625</v>
      </c>
      <c r="E282" t="s">
        <v>1242</v>
      </c>
      <c r="F282" s="1914">
        <v>21509400</v>
      </c>
      <c r="G282" s="1914">
        <v>111205</v>
      </c>
      <c r="H282" s="1914">
        <f t="shared" si="72"/>
        <v>566040</v>
      </c>
    </row>
    <row r="283" spans="1:16" ht="12.75">
      <c r="A283" t="s">
        <v>2249</v>
      </c>
      <c r="B283" t="s">
        <v>2626</v>
      </c>
      <c r="C283" s="2916" t="s">
        <v>2518</v>
      </c>
      <c r="D283" s="2916" t="s">
        <v>2586</v>
      </c>
      <c r="E283" t="s">
        <v>2594</v>
      </c>
      <c r="F283" s="1914">
        <v>13920622</v>
      </c>
      <c r="G283" s="1914">
        <v>58617</v>
      </c>
      <c r="H283" s="1914">
        <f t="shared" si="72"/>
        <v>0</v>
      </c>
    </row>
    <row r="284" spans="1:16" ht="12.75">
      <c r="A284" t="s">
        <v>2252</v>
      </c>
      <c r="B284" t="s">
        <v>2627</v>
      </c>
      <c r="C284" s="2916" t="s">
        <v>2628</v>
      </c>
      <c r="D284" s="2916" t="s">
        <v>2629</v>
      </c>
      <c r="E284" t="s">
        <v>2630</v>
      </c>
      <c r="F284" s="1914">
        <v>13860388</v>
      </c>
      <c r="G284" s="1914">
        <v>58617</v>
      </c>
      <c r="H284" s="1914">
        <f t="shared" si="72"/>
        <v>56804</v>
      </c>
    </row>
    <row r="285" spans="1:16" ht="12.75">
      <c r="A285" s="2998" t="s">
        <v>2631</v>
      </c>
      <c r="B285" s="2998" t="s">
        <v>2632</v>
      </c>
      <c r="C285" s="2999" t="s">
        <v>2633</v>
      </c>
      <c r="D285" s="2999" t="s">
        <v>2634</v>
      </c>
      <c r="E285" s="2998" t="s">
        <v>2635</v>
      </c>
      <c r="F285" s="1914">
        <v>2611345</v>
      </c>
      <c r="G285" s="1914">
        <v>3239</v>
      </c>
    </row>
    <row r="286" spans="1:16" ht="12.75">
      <c r="A286" s="1228" t="s">
        <v>2636</v>
      </c>
      <c r="B286" s="1228"/>
      <c r="C286" s="1229" t="s">
        <v>2637</v>
      </c>
      <c r="D286" s="1229" t="s">
        <v>2638</v>
      </c>
      <c r="E286"/>
      <c r="F286" s="1918">
        <f>SUM(F281:F285)</f>
        <v>114603131</v>
      </c>
      <c r="G286" s="1918">
        <f t="shared" ref="G286:H286" si="73">SUM(G281:G285)</f>
        <v>280602</v>
      </c>
      <c r="H286" s="1918">
        <f t="shared" si="73"/>
        <v>1049385</v>
      </c>
    </row>
    <row r="287" spans="1:16" ht="12.75">
      <c r="A287" t="s">
        <v>1246</v>
      </c>
      <c r="B287" t="s">
        <v>2620</v>
      </c>
      <c r="C287" s="2916" t="s">
        <v>2655</v>
      </c>
      <c r="D287" s="2916" t="s">
        <v>2656</v>
      </c>
      <c r="E287" t="s">
        <v>1349</v>
      </c>
      <c r="F287" s="1914">
        <v>62274825</v>
      </c>
      <c r="G287" s="1914">
        <v>48593</v>
      </c>
      <c r="H287" s="1914">
        <f>+F281-F287</f>
        <v>426551</v>
      </c>
    </row>
    <row r="288" spans="1:16" ht="12.75">
      <c r="A288" t="s">
        <v>1372</v>
      </c>
      <c r="B288" t="s">
        <v>2623</v>
      </c>
      <c r="C288" s="2916" t="s">
        <v>2624</v>
      </c>
      <c r="D288" s="2916" t="s">
        <v>804</v>
      </c>
      <c r="E288" t="s">
        <v>1242</v>
      </c>
      <c r="F288" s="1914">
        <v>21509400</v>
      </c>
      <c r="G288" s="1914">
        <v>0</v>
      </c>
      <c r="H288" s="1914">
        <f>+F282-F288</f>
        <v>0</v>
      </c>
    </row>
    <row r="289" spans="1:8" ht="12.75">
      <c r="A289" t="s">
        <v>2249</v>
      </c>
      <c r="B289" t="s">
        <v>2626</v>
      </c>
      <c r="C289" s="2916" t="s">
        <v>2518</v>
      </c>
      <c r="D289" s="2916" t="s">
        <v>2586</v>
      </c>
      <c r="E289" t="s">
        <v>2594</v>
      </c>
      <c r="F289" s="1914">
        <v>13920622</v>
      </c>
      <c r="G289" s="1914">
        <v>58617</v>
      </c>
      <c r="H289" s="1914">
        <f t="shared" ref="H289:H290" si="74">+F283-F289</f>
        <v>0</v>
      </c>
    </row>
    <row r="290" spans="1:8" ht="12.75">
      <c r="A290" t="s">
        <v>2252</v>
      </c>
      <c r="B290" t="s">
        <v>2627</v>
      </c>
      <c r="C290" s="2916" t="s">
        <v>2657</v>
      </c>
      <c r="D290" s="2916" t="s">
        <v>2658</v>
      </c>
      <c r="E290" t="s">
        <v>2630</v>
      </c>
      <c r="F290" s="1914">
        <v>13803582</v>
      </c>
      <c r="G290" s="1914">
        <v>58363</v>
      </c>
      <c r="H290" s="1914">
        <f t="shared" si="74"/>
        <v>56806</v>
      </c>
    </row>
    <row r="291" spans="1:8" ht="12.75">
      <c r="A291" s="1457" t="s">
        <v>2631</v>
      </c>
      <c r="B291" s="1457" t="s">
        <v>2632</v>
      </c>
      <c r="C291" s="3007" t="s">
        <v>2650</v>
      </c>
      <c r="D291" s="3007" t="s">
        <v>2659</v>
      </c>
      <c r="E291" t="s">
        <v>2660</v>
      </c>
      <c r="F291" s="1914">
        <v>2611345</v>
      </c>
      <c r="G291" s="1914">
        <v>7173</v>
      </c>
      <c r="H291" s="1914">
        <f>+F285-F291</f>
        <v>0</v>
      </c>
    </row>
    <row r="292" spans="1:8" ht="12.75">
      <c r="A292" s="1228" t="s">
        <v>2661</v>
      </c>
      <c r="B292" s="1228"/>
      <c r="C292" s="1229" t="s">
        <v>2662</v>
      </c>
      <c r="D292" s="1229" t="s">
        <v>2663</v>
      </c>
      <c r="E292"/>
      <c r="F292" s="1918">
        <f>SUM(F287:F291)</f>
        <v>114119774</v>
      </c>
      <c r="G292" s="1918">
        <f t="shared" ref="G292:H292" si="75">SUM(G287:G291)</f>
        <v>172746</v>
      </c>
      <c r="H292" s="1918">
        <f t="shared" si="75"/>
        <v>483357</v>
      </c>
    </row>
    <row r="293" spans="1:8" ht="12.75">
      <c r="A293" t="s">
        <v>1246</v>
      </c>
      <c r="B293" t="s">
        <v>2620</v>
      </c>
      <c r="C293" s="3005" t="s">
        <v>2645</v>
      </c>
      <c r="D293" s="2916" t="s">
        <v>2646</v>
      </c>
      <c r="E293" t="s">
        <v>1349</v>
      </c>
      <c r="F293" s="1914">
        <v>61848294</v>
      </c>
      <c r="G293" s="1914">
        <v>43592</v>
      </c>
      <c r="H293" s="1914">
        <f t="shared" ref="H293:H296" si="76">+F287-F293</f>
        <v>426531</v>
      </c>
    </row>
    <row r="294" spans="1:8" ht="12.75">
      <c r="A294" t="s">
        <v>1372</v>
      </c>
      <c r="B294" t="s">
        <v>2623</v>
      </c>
      <c r="C294" s="3005" t="s">
        <v>2624</v>
      </c>
      <c r="D294" s="2916" t="s">
        <v>804</v>
      </c>
      <c r="E294" t="s">
        <v>1242</v>
      </c>
      <c r="F294" s="1914">
        <v>21509400</v>
      </c>
      <c r="G294" s="1914">
        <v>0</v>
      </c>
      <c r="H294" s="1914">
        <f t="shared" si="76"/>
        <v>0</v>
      </c>
    </row>
    <row r="295" spans="1:8" ht="12.75">
      <c r="A295" t="s">
        <v>2249</v>
      </c>
      <c r="B295" t="s">
        <v>2626</v>
      </c>
      <c r="C295" s="3005" t="s">
        <v>2518</v>
      </c>
      <c r="D295" s="2916" t="s">
        <v>2647</v>
      </c>
      <c r="E295" t="s">
        <v>2594</v>
      </c>
      <c r="F295" s="1914">
        <v>13920622</v>
      </c>
      <c r="G295" s="1914">
        <v>54944</v>
      </c>
      <c r="H295" s="1914">
        <f t="shared" si="76"/>
        <v>0</v>
      </c>
    </row>
    <row r="296" spans="1:8" ht="12.75">
      <c r="A296" t="s">
        <v>2252</v>
      </c>
      <c r="B296" t="s">
        <v>2627</v>
      </c>
      <c r="C296" s="3005" t="s">
        <v>2648</v>
      </c>
      <c r="D296" s="2916" t="s">
        <v>2649</v>
      </c>
      <c r="E296" t="s">
        <v>2630</v>
      </c>
      <c r="F296" s="1914">
        <v>13746777</v>
      </c>
      <c r="G296" s="1914">
        <v>52499</v>
      </c>
      <c r="H296" s="1914">
        <f t="shared" si="76"/>
        <v>56805</v>
      </c>
    </row>
    <row r="297" spans="1:8" ht="12.75">
      <c r="A297" s="1457" t="s">
        <v>2631</v>
      </c>
      <c r="B297" s="1457" t="s">
        <v>2632</v>
      </c>
      <c r="C297" s="3006" t="s">
        <v>2650</v>
      </c>
      <c r="D297" s="3007" t="s">
        <v>2651</v>
      </c>
      <c r="E297" t="s">
        <v>2660</v>
      </c>
      <c r="F297" s="1914">
        <v>2611345</v>
      </c>
      <c r="G297" s="1914">
        <v>6479</v>
      </c>
      <c r="H297" s="1914">
        <f>+F291-F297</f>
        <v>0</v>
      </c>
    </row>
    <row r="298" spans="1:8" ht="12.75">
      <c r="A298" s="1228" t="s">
        <v>2652</v>
      </c>
      <c r="B298" s="1228"/>
      <c r="C298" s="1229" t="s">
        <v>2653</v>
      </c>
      <c r="D298" s="1229" t="s">
        <v>2654</v>
      </c>
      <c r="E298"/>
      <c r="F298" s="1918">
        <f>SUM(F293:F297)</f>
        <v>113636438</v>
      </c>
      <c r="G298" s="1918">
        <f t="shared" ref="G298:H298" si="77">SUM(G293:G297)</f>
        <v>157514</v>
      </c>
      <c r="H298" s="1918">
        <f t="shared" si="77"/>
        <v>483336</v>
      </c>
    </row>
    <row r="299" spans="1:8" ht="12.75">
      <c r="A299" t="s">
        <v>1246</v>
      </c>
      <c r="B299" t="s">
        <v>2620</v>
      </c>
      <c r="C299" s="3005" t="s">
        <v>2669</v>
      </c>
      <c r="D299" s="2916" t="s">
        <v>2670</v>
      </c>
      <c r="E299" t="s">
        <v>1349</v>
      </c>
      <c r="F299" s="1914">
        <v>61421753</v>
      </c>
      <c r="G299" s="1914">
        <v>47932</v>
      </c>
      <c r="H299" s="1914">
        <f>+F293-F299</f>
        <v>426541</v>
      </c>
    </row>
    <row r="300" spans="1:8" ht="12.75">
      <c r="A300" t="s">
        <v>1372</v>
      </c>
      <c r="B300" t="s">
        <v>2623</v>
      </c>
      <c r="C300" s="3005" t="s">
        <v>2671</v>
      </c>
      <c r="D300" s="2916" t="s">
        <v>2672</v>
      </c>
      <c r="E300" t="s">
        <v>1242</v>
      </c>
      <c r="F300" s="1914">
        <v>20943360</v>
      </c>
      <c r="G300" s="1914">
        <v>102528</v>
      </c>
      <c r="H300" s="1914">
        <f t="shared" ref="H300:H301" si="78">+F294-F300</f>
        <v>566040</v>
      </c>
    </row>
    <row r="301" spans="1:8" ht="12.75">
      <c r="A301" t="s">
        <v>2249</v>
      </c>
      <c r="B301" t="s">
        <v>2626</v>
      </c>
      <c r="C301" s="3005" t="s">
        <v>2518</v>
      </c>
      <c r="D301" s="2916" t="s">
        <v>2586</v>
      </c>
      <c r="E301" t="s">
        <v>2594</v>
      </c>
      <c r="F301" s="1914">
        <v>13920622</v>
      </c>
      <c r="G301" s="1914">
        <v>58617</v>
      </c>
      <c r="H301" s="1914">
        <f t="shared" si="78"/>
        <v>0</v>
      </c>
    </row>
    <row r="302" spans="1:8" ht="12.75">
      <c r="A302" s="22" t="s">
        <v>2252</v>
      </c>
      <c r="B302" s="22" t="s">
        <v>2627</v>
      </c>
      <c r="C302" s="3013" t="s">
        <v>2673</v>
      </c>
      <c r="D302" s="3014" t="s">
        <v>2674</v>
      </c>
      <c r="E302" t="s">
        <v>2630</v>
      </c>
      <c r="F302" s="1914">
        <v>13689972</v>
      </c>
      <c r="G302" s="1914">
        <v>57885</v>
      </c>
      <c r="H302" s="1914">
        <f>+F296-F302</f>
        <v>56805</v>
      </c>
    </row>
    <row r="303" spans="1:8" ht="12.75">
      <c r="A303" s="1457" t="s">
        <v>2631</v>
      </c>
      <c r="B303" s="1457" t="s">
        <v>2632</v>
      </c>
      <c r="C303" s="3006" t="s">
        <v>2675</v>
      </c>
      <c r="D303" s="3007" t="s">
        <v>2676</v>
      </c>
      <c r="E303" s="1457" t="s">
        <v>2660</v>
      </c>
      <c r="F303" s="1914">
        <v>3480238.48</v>
      </c>
      <c r="G303" s="1914">
        <v>8020.15</v>
      </c>
    </row>
    <row r="304" spans="1:8" ht="12.75">
      <c r="A304" s="1228" t="s">
        <v>2677</v>
      </c>
      <c r="B304" s="1228"/>
      <c r="C304" s="1229" t="s">
        <v>2678</v>
      </c>
      <c r="D304" s="1229" t="s">
        <v>2679</v>
      </c>
      <c r="E304"/>
      <c r="F304" s="1918">
        <f>SUM(F299:F303)</f>
        <v>113455945.48</v>
      </c>
      <c r="G304" s="1918">
        <f t="shared" ref="G304:H304" si="79">SUM(G299:G303)</f>
        <v>274982.15000000002</v>
      </c>
      <c r="H304" s="1918">
        <f t="shared" si="79"/>
        <v>1049386</v>
      </c>
    </row>
    <row r="305" spans="1:8" ht="12.75">
      <c r="A305" t="s">
        <v>1246</v>
      </c>
      <c r="B305" t="s">
        <v>2620</v>
      </c>
      <c r="C305" s="3005" t="s">
        <v>2681</v>
      </c>
      <c r="D305" s="2916" t="s">
        <v>2682</v>
      </c>
      <c r="E305" t="s">
        <v>1349</v>
      </c>
      <c r="F305" s="1914">
        <v>60995212</v>
      </c>
      <c r="G305" s="1914">
        <v>46066</v>
      </c>
      <c r="H305" s="1914">
        <f>+F299-F305</f>
        <v>426541</v>
      </c>
    </row>
    <row r="306" spans="1:8" ht="12.75">
      <c r="A306" t="s">
        <v>1372</v>
      </c>
      <c r="B306" t="s">
        <v>2623</v>
      </c>
      <c r="C306" s="3005" t="s">
        <v>2683</v>
      </c>
      <c r="D306" s="2916" t="s">
        <v>804</v>
      </c>
      <c r="E306" t="s">
        <v>1242</v>
      </c>
      <c r="F306" s="1914">
        <v>20943360</v>
      </c>
      <c r="G306" s="1914">
        <v>0</v>
      </c>
      <c r="H306" s="1914">
        <f t="shared" ref="H306:H308" si="80">+F300-F306</f>
        <v>0</v>
      </c>
    </row>
    <row r="307" spans="1:8" ht="12.75">
      <c r="A307" t="s">
        <v>2249</v>
      </c>
      <c r="B307" t="s">
        <v>2626</v>
      </c>
      <c r="C307" s="3005" t="s">
        <v>2684</v>
      </c>
      <c r="D307" s="2916" t="s">
        <v>2593</v>
      </c>
      <c r="E307" t="s">
        <v>2594</v>
      </c>
      <c r="F307" s="1914">
        <v>13920622.949999999</v>
      </c>
      <c r="G307" s="1914">
        <v>56726</v>
      </c>
      <c r="H307" s="1914">
        <f>+F301-F307</f>
        <v>-0.94999999925494194</v>
      </c>
    </row>
    <row r="308" spans="1:8" ht="12.75">
      <c r="A308" s="22" t="s">
        <v>2252</v>
      </c>
      <c r="B308" s="22" t="s">
        <v>2627</v>
      </c>
      <c r="C308" s="3013" t="s">
        <v>2685</v>
      </c>
      <c r="D308" s="3014" t="s">
        <v>2686</v>
      </c>
      <c r="E308" t="s">
        <v>2630</v>
      </c>
      <c r="F308" s="1914">
        <v>13633167.73</v>
      </c>
      <c r="G308" s="1914">
        <v>55786</v>
      </c>
      <c r="H308" s="1914">
        <f t="shared" si="80"/>
        <v>56804.269999999553</v>
      </c>
    </row>
    <row r="309" spans="1:8" ht="12.75">
      <c r="A309" s="1457" t="s">
        <v>2631</v>
      </c>
      <c r="B309" s="1457" t="s">
        <v>2632</v>
      </c>
      <c r="C309" s="3006" t="s">
        <v>2687</v>
      </c>
      <c r="D309" s="3007" t="s">
        <v>2688</v>
      </c>
      <c r="E309" s="1457" t="s">
        <v>2660</v>
      </c>
      <c r="F309" s="3016">
        <v>7622061.21</v>
      </c>
      <c r="G309" s="3016">
        <v>12453.53</v>
      </c>
    </row>
    <row r="310" spans="1:8" ht="12.75">
      <c r="A310" s="1228" t="s">
        <v>2689</v>
      </c>
      <c r="B310" s="1228"/>
      <c r="C310" s="1229" t="s">
        <v>2690</v>
      </c>
      <c r="D310" s="1229" t="s">
        <v>2691</v>
      </c>
      <c r="E310"/>
      <c r="F310" s="1918">
        <f>SUM(F305:F309)</f>
        <v>117114423.89</v>
      </c>
      <c r="G310" s="1918">
        <f t="shared" ref="G310:H310" si="81">SUM(G305:G309)</f>
        <v>171031.53</v>
      </c>
      <c r="H310" s="1918">
        <f t="shared" si="81"/>
        <v>483344.3200000003</v>
      </c>
    </row>
    <row r="311" spans="1:8" ht="12.75">
      <c r="A311" t="s">
        <v>1246</v>
      </c>
      <c r="B311" t="s">
        <v>2620</v>
      </c>
      <c r="C311" s="2916" t="s">
        <v>2767</v>
      </c>
      <c r="D311" s="2916" t="s">
        <v>2768</v>
      </c>
      <c r="E311" t="s">
        <v>1349</v>
      </c>
      <c r="F311" s="1914">
        <v>60568671</v>
      </c>
      <c r="G311" s="1914">
        <v>47271</v>
      </c>
      <c r="H311" s="1914">
        <f>+F305-F311</f>
        <v>426541</v>
      </c>
    </row>
    <row r="312" spans="1:8" ht="12.75">
      <c r="A312" t="s">
        <v>1372</v>
      </c>
      <c r="B312" t="s">
        <v>2623</v>
      </c>
      <c r="C312" s="2916" t="s">
        <v>2683</v>
      </c>
      <c r="D312" s="2916" t="s">
        <v>804</v>
      </c>
      <c r="E312" t="s">
        <v>1242</v>
      </c>
      <c r="F312" s="1914">
        <v>20943360</v>
      </c>
      <c r="G312" s="1914">
        <v>0</v>
      </c>
      <c r="H312" s="1914">
        <f t="shared" ref="H312:H315" si="82">+F306-F312</f>
        <v>0</v>
      </c>
    </row>
    <row r="313" spans="1:8" ht="12.75">
      <c r="A313" t="s">
        <v>2249</v>
      </c>
      <c r="B313" t="s">
        <v>2626</v>
      </c>
      <c r="C313" s="2916" t="s">
        <v>2769</v>
      </c>
      <c r="D313" s="2916" t="s">
        <v>2586</v>
      </c>
      <c r="E313" t="s">
        <v>2594</v>
      </c>
      <c r="F313" s="1914">
        <v>13503955.949999999</v>
      </c>
      <c r="G313" s="1914">
        <v>58617</v>
      </c>
      <c r="H313" s="1914">
        <f>+F307-F313</f>
        <v>416667</v>
      </c>
    </row>
    <row r="314" spans="1:8" ht="12.75">
      <c r="A314" s="22" t="s">
        <v>2252</v>
      </c>
      <c r="B314" s="22" t="s">
        <v>2627</v>
      </c>
      <c r="C314" s="3014" t="s">
        <v>2770</v>
      </c>
      <c r="D314" s="3014" t="s">
        <v>2771</v>
      </c>
      <c r="E314" t="s">
        <v>2630</v>
      </c>
      <c r="F314" s="1914">
        <v>13576362.859999999</v>
      </c>
      <c r="G314" s="1914">
        <v>57407</v>
      </c>
      <c r="H314" s="1914">
        <f t="shared" si="82"/>
        <v>56804.870000001043</v>
      </c>
    </row>
    <row r="315" spans="1:8" ht="12.75">
      <c r="A315" s="1457" t="s">
        <v>2631</v>
      </c>
      <c r="B315" s="1457" t="s">
        <v>2632</v>
      </c>
      <c r="C315" s="3007" t="s">
        <v>2687</v>
      </c>
      <c r="D315" s="3007" t="s">
        <v>804</v>
      </c>
      <c r="E315" s="1457" t="s">
        <v>2660</v>
      </c>
      <c r="F315" s="1914">
        <v>7622061.21</v>
      </c>
      <c r="G315" s="1914">
        <v>0</v>
      </c>
      <c r="H315" s="1914">
        <f t="shared" si="82"/>
        <v>0</v>
      </c>
    </row>
    <row r="316" spans="1:8" ht="12.75">
      <c r="A316" s="1228" t="s">
        <v>2772</v>
      </c>
      <c r="B316" s="1228"/>
      <c r="C316" s="2917" t="s">
        <v>2773</v>
      </c>
      <c r="D316" s="1229" t="s">
        <v>2774</v>
      </c>
      <c r="E316"/>
      <c r="F316" s="1918">
        <f>SUM(F311:F315)</f>
        <v>116214411.02</v>
      </c>
      <c r="G316" s="1918">
        <f t="shared" ref="G316:H316" si="83">SUM(G311:G315)</f>
        <v>163295</v>
      </c>
      <c r="H316" s="1918">
        <f t="shared" si="83"/>
        <v>900012.87000000104</v>
      </c>
    </row>
    <row r="317" spans="1:8" ht="12.75">
      <c r="A317" t="s">
        <v>1246</v>
      </c>
      <c r="B317" t="s">
        <v>2620</v>
      </c>
      <c r="C317" s="3050" t="s">
        <v>2775</v>
      </c>
      <c r="D317" s="2916" t="s">
        <v>2776</v>
      </c>
      <c r="E317" t="s">
        <v>1349</v>
      </c>
      <c r="F317" s="1914">
        <v>60142130</v>
      </c>
      <c r="G317" s="1914">
        <v>45426.51</v>
      </c>
      <c r="H317" s="1914">
        <f>+F311-F317</f>
        <v>426541</v>
      </c>
    </row>
    <row r="318" spans="1:8" ht="12.75">
      <c r="A318" t="s">
        <v>1372</v>
      </c>
      <c r="B318" t="s">
        <v>2623</v>
      </c>
      <c r="C318" s="2916" t="s">
        <v>2777</v>
      </c>
      <c r="D318" s="2916" t="s">
        <v>2778</v>
      </c>
      <c r="E318" t="s">
        <v>1242</v>
      </c>
      <c r="F318" s="1914">
        <v>20377320</v>
      </c>
      <c r="G318" s="1914">
        <v>104367.74</v>
      </c>
      <c r="H318" s="1914">
        <f t="shared" ref="H318:H319" si="84">+F312-F318</f>
        <v>566040</v>
      </c>
    </row>
    <row r="319" spans="1:8" ht="12.75">
      <c r="A319" t="s">
        <v>2249</v>
      </c>
      <c r="B319" t="s">
        <v>2626</v>
      </c>
      <c r="C319" s="2916" t="s">
        <v>2779</v>
      </c>
      <c r="D319" s="2916" t="s">
        <v>2780</v>
      </c>
      <c r="E319" t="s">
        <v>2594</v>
      </c>
      <c r="F319" s="1914">
        <v>13087288.949999999</v>
      </c>
      <c r="G319" s="1914">
        <v>55028.62</v>
      </c>
      <c r="H319" s="1914">
        <f t="shared" si="84"/>
        <v>416667</v>
      </c>
    </row>
    <row r="320" spans="1:8" ht="12.75">
      <c r="A320" s="22" t="s">
        <v>2252</v>
      </c>
      <c r="B320" s="22" t="s">
        <v>2627</v>
      </c>
      <c r="C320" s="3014" t="s">
        <v>2781</v>
      </c>
      <c r="D320" s="3014" t="s">
        <v>2782</v>
      </c>
      <c r="E320" t="s">
        <v>2630</v>
      </c>
      <c r="F320" s="1914">
        <v>13519557.99</v>
      </c>
      <c r="G320" s="1914">
        <v>55323.67</v>
      </c>
      <c r="H320" s="1914">
        <f>+F314-F320</f>
        <v>56804.86999999918</v>
      </c>
    </row>
    <row r="321" spans="1:12" ht="12.75">
      <c r="A321" s="1457" t="s">
        <v>2631</v>
      </c>
      <c r="B321" s="1457" t="s">
        <v>2632</v>
      </c>
      <c r="C321" s="3007" t="s">
        <v>2783</v>
      </c>
      <c r="D321" s="3007" t="s">
        <v>804</v>
      </c>
      <c r="E321" s="1457" t="s">
        <v>2660</v>
      </c>
      <c r="F321" s="1914">
        <v>7662061.21</v>
      </c>
      <c r="G321" s="1914">
        <v>0</v>
      </c>
    </row>
    <row r="322" spans="1:12" ht="12.75">
      <c r="A322" s="1228" t="s">
        <v>2784</v>
      </c>
      <c r="B322" s="1228"/>
      <c r="C322" s="2917" t="s">
        <v>2785</v>
      </c>
      <c r="D322" s="1229" t="s">
        <v>2786</v>
      </c>
      <c r="E322"/>
      <c r="F322" s="1918">
        <f>SUM(F317:F321)</f>
        <v>114788358.14999999</v>
      </c>
      <c r="G322" s="1918">
        <f t="shared" ref="G322:H322" si="85">SUM(G317:G321)</f>
        <v>260146.53999999998</v>
      </c>
      <c r="H322" s="1918">
        <f t="shared" si="85"/>
        <v>1466052.8699999992</v>
      </c>
    </row>
    <row r="323" spans="1:12" ht="12.75">
      <c r="A323" t="s">
        <v>1246</v>
      </c>
      <c r="B323" t="s">
        <v>2620</v>
      </c>
      <c r="C323" s="3050" t="s">
        <v>2791</v>
      </c>
      <c r="D323" s="2916" t="s">
        <v>2792</v>
      </c>
      <c r="E323" t="s">
        <v>1349</v>
      </c>
      <c r="F323" s="1914">
        <v>59715589</v>
      </c>
      <c r="G323" s="1914">
        <v>46610.15</v>
      </c>
      <c r="H323" s="1914">
        <f>+F317-F323</f>
        <v>426541</v>
      </c>
    </row>
    <row r="324" spans="1:12" ht="12.75">
      <c r="A324" t="s">
        <v>1372</v>
      </c>
      <c r="B324" t="s">
        <v>2623</v>
      </c>
      <c r="C324" s="2916" t="s">
        <v>2777</v>
      </c>
      <c r="D324" s="2916" t="s">
        <v>804</v>
      </c>
      <c r="E324" t="s">
        <v>1242</v>
      </c>
      <c r="F324" s="1914">
        <v>20377320</v>
      </c>
      <c r="G324" s="1914">
        <v>0</v>
      </c>
      <c r="H324" s="1914">
        <f t="shared" ref="H324:H325" si="86">+F318-F324</f>
        <v>0</v>
      </c>
    </row>
    <row r="325" spans="1:12" ht="12.75">
      <c r="A325" t="s">
        <v>2249</v>
      </c>
      <c r="B325" t="s">
        <v>2626</v>
      </c>
      <c r="C325" s="2916" t="s">
        <v>2793</v>
      </c>
      <c r="D325" s="2916" t="s">
        <v>2794</v>
      </c>
      <c r="E325" t="s">
        <v>2594</v>
      </c>
      <c r="F325" s="1914">
        <v>12670621.949999999</v>
      </c>
      <c r="G325" s="1914">
        <v>55108.39</v>
      </c>
      <c r="H325" s="1914">
        <f t="shared" si="86"/>
        <v>416667</v>
      </c>
      <c r="J325" s="1931">
        <f>+H325*5.5</f>
        <v>2291668.5</v>
      </c>
    </row>
    <row r="326" spans="1:12" ht="12.75">
      <c r="A326" s="22" t="s">
        <v>2252</v>
      </c>
      <c r="B326" s="22" t="s">
        <v>2627</v>
      </c>
      <c r="C326" s="3014" t="s">
        <v>2795</v>
      </c>
      <c r="D326" s="3014" t="s">
        <v>2796</v>
      </c>
      <c r="E326" t="s">
        <v>2630</v>
      </c>
      <c r="F326" s="1914">
        <v>13462753.119999999</v>
      </c>
      <c r="G326" s="1914">
        <v>56928.61</v>
      </c>
      <c r="H326" s="1914">
        <f>+F320-F326</f>
        <v>56804.870000001043</v>
      </c>
    </row>
    <row r="327" spans="1:12" ht="12.75">
      <c r="A327" s="1457" t="s">
        <v>2631</v>
      </c>
      <c r="B327" s="1457" t="s">
        <v>2632</v>
      </c>
      <c r="C327" s="3007" t="s">
        <v>2687</v>
      </c>
      <c r="D327" s="3007" t="s">
        <v>804</v>
      </c>
      <c r="E327" s="1457" t="s">
        <v>2660</v>
      </c>
      <c r="F327" s="1914">
        <v>7622061.21</v>
      </c>
      <c r="G327" s="1914">
        <v>0</v>
      </c>
      <c r="H327" s="1914">
        <f>+F321-F327</f>
        <v>40000</v>
      </c>
      <c r="J327" s="1931">
        <f>+H327*12</f>
        <v>480000</v>
      </c>
    </row>
    <row r="328" spans="1:12" ht="12.75">
      <c r="A328" s="1228" t="s">
        <v>2797</v>
      </c>
      <c r="B328" s="1228"/>
      <c r="C328" s="2917" t="s">
        <v>2798</v>
      </c>
      <c r="D328" s="1229" t="s">
        <v>2799</v>
      </c>
      <c r="E328"/>
      <c r="F328" s="1918">
        <f>SUM(F323:F327)</f>
        <v>113848345.28</v>
      </c>
      <c r="G328" s="1918">
        <f t="shared" ref="G328:H328" si="87">SUM(G323:G327)</f>
        <v>158647.15000000002</v>
      </c>
      <c r="H328" s="1918">
        <f t="shared" si="87"/>
        <v>940012.87000000104</v>
      </c>
    </row>
    <row r="329" spans="1:12" ht="12.75">
      <c r="A329" t="s">
        <v>1246</v>
      </c>
      <c r="B329" t="s">
        <v>2620</v>
      </c>
      <c r="C329" s="3050" t="s">
        <v>2831</v>
      </c>
      <c r="D329" s="2916" t="s">
        <v>2832</v>
      </c>
      <c r="E329" t="s">
        <v>1349</v>
      </c>
      <c r="F329" s="1914">
        <v>59289048</v>
      </c>
      <c r="G329" s="1914">
        <v>46279.58</v>
      </c>
      <c r="H329" s="1914">
        <f>+F323-F329</f>
        <v>426541</v>
      </c>
      <c r="J329" s="1913"/>
      <c r="K329" s="1913"/>
      <c r="L329" s="1913"/>
    </row>
    <row r="330" spans="1:12" ht="12.75">
      <c r="A330" t="s">
        <v>1372</v>
      </c>
      <c r="B330" t="s">
        <v>2623</v>
      </c>
      <c r="C330" s="2916" t="s">
        <v>2777</v>
      </c>
      <c r="D330" s="2916" t="s">
        <v>804</v>
      </c>
      <c r="E330" t="s">
        <v>1242</v>
      </c>
      <c r="F330" s="1914">
        <v>20377320</v>
      </c>
      <c r="G330" s="1914">
        <v>0</v>
      </c>
      <c r="H330" s="1914">
        <f t="shared" ref="H330:H333" si="88">+F324-F330</f>
        <v>0</v>
      </c>
      <c r="J330" s="1913"/>
      <c r="K330" s="1913"/>
      <c r="L330" s="1913"/>
    </row>
    <row r="331" spans="1:12" ht="12.75">
      <c r="A331" t="s">
        <v>2249</v>
      </c>
      <c r="B331" t="s">
        <v>2626</v>
      </c>
      <c r="C331" s="2916" t="s">
        <v>2833</v>
      </c>
      <c r="D331" s="2916" t="s">
        <v>2834</v>
      </c>
      <c r="E331" t="s">
        <v>2594</v>
      </c>
      <c r="F331" s="1914">
        <v>12253954.949999999</v>
      </c>
      <c r="G331" s="1914">
        <v>53353.88</v>
      </c>
      <c r="H331" s="1914">
        <f t="shared" si="88"/>
        <v>416667</v>
      </c>
      <c r="J331" s="1914">
        <f>+H331+H325+H319</f>
        <v>1250001</v>
      </c>
      <c r="K331" s="1913"/>
      <c r="L331" s="1913"/>
    </row>
    <row r="332" spans="1:12" ht="12.75">
      <c r="A332" s="22" t="s">
        <v>2252</v>
      </c>
      <c r="B332" s="22" t="s">
        <v>2627</v>
      </c>
      <c r="C332" s="3014" t="s">
        <v>2835</v>
      </c>
      <c r="D332" s="3014" t="s">
        <v>2836</v>
      </c>
      <c r="E332" t="s">
        <v>2630</v>
      </c>
      <c r="F332" s="1914">
        <v>13405948.25</v>
      </c>
      <c r="G332" s="1914">
        <v>56689.41</v>
      </c>
      <c r="H332" s="1914">
        <f t="shared" si="88"/>
        <v>56804.86999999918</v>
      </c>
      <c r="J332" s="1913">
        <f>54924*4</f>
        <v>219696</v>
      </c>
      <c r="K332" s="1913"/>
      <c r="L332" s="1913"/>
    </row>
    <row r="333" spans="1:12" ht="12.75">
      <c r="A333" s="1457" t="s">
        <v>2631</v>
      </c>
      <c r="B333" s="1457" t="s">
        <v>2632</v>
      </c>
      <c r="C333" s="3007" t="s">
        <v>2687</v>
      </c>
      <c r="D333" s="3007" t="s">
        <v>2837</v>
      </c>
      <c r="E333" s="1457" t="s">
        <v>2660</v>
      </c>
      <c r="F333" s="1914">
        <v>7622061.21</v>
      </c>
      <c r="G333" s="1914">
        <v>20937.38</v>
      </c>
      <c r="H333" s="1914">
        <f t="shared" si="88"/>
        <v>0</v>
      </c>
      <c r="J333" s="1913"/>
      <c r="K333" s="1913"/>
      <c r="L333" s="1913"/>
    </row>
    <row r="334" spans="1:12" ht="12.75">
      <c r="A334" s="1228" t="s">
        <v>2838</v>
      </c>
      <c r="B334" s="1228"/>
      <c r="C334" s="2917" t="s">
        <v>2839</v>
      </c>
      <c r="D334" s="1229" t="s">
        <v>2840</v>
      </c>
      <c r="E334"/>
      <c r="F334" s="1918">
        <f>SUM(F329:F333)</f>
        <v>112948332.41</v>
      </c>
      <c r="G334" s="1918">
        <f t="shared" ref="G334:H334" si="89">SUM(G329:G333)</f>
        <v>177260.25</v>
      </c>
      <c r="H334" s="1918">
        <f t="shared" si="89"/>
        <v>900012.86999999918</v>
      </c>
      <c r="J334" s="1913"/>
      <c r="K334" s="1913"/>
      <c r="L334" s="1913"/>
    </row>
    <row r="335" spans="1:12" ht="12.75">
      <c r="A335" t="s">
        <v>1246</v>
      </c>
      <c r="B335" t="s">
        <v>2620</v>
      </c>
      <c r="C335" s="3050" t="s">
        <v>2841</v>
      </c>
      <c r="D335" s="2916" t="s">
        <v>2842</v>
      </c>
      <c r="E335" t="s">
        <v>1349</v>
      </c>
      <c r="F335" s="1914">
        <v>58862507</v>
      </c>
      <c r="G335" s="1914">
        <v>44466.78</v>
      </c>
      <c r="H335" s="1914">
        <f>+F329-F335</f>
        <v>426541</v>
      </c>
      <c r="J335" s="1913"/>
      <c r="K335" s="1913"/>
      <c r="L335" s="1913"/>
    </row>
    <row r="336" spans="1:12" ht="12.75">
      <c r="A336" t="s">
        <v>1372</v>
      </c>
      <c r="B336" t="s">
        <v>2623</v>
      </c>
      <c r="C336" s="2916" t="s">
        <v>2843</v>
      </c>
      <c r="D336" s="2916" t="s">
        <v>2844</v>
      </c>
      <c r="E336" t="s">
        <v>1242</v>
      </c>
      <c r="F336" s="1914">
        <v>19811280</v>
      </c>
      <c r="G336" s="1914">
        <v>101546.98</v>
      </c>
      <c r="H336" s="1914">
        <f t="shared" ref="H336:H338" si="90">+F330-F336</f>
        <v>566040</v>
      </c>
      <c r="J336" s="1913"/>
      <c r="K336" s="1913"/>
      <c r="L336" s="1913"/>
    </row>
    <row r="337" spans="1:12" ht="12.75">
      <c r="A337" t="s">
        <v>2249</v>
      </c>
      <c r="B337" t="s">
        <v>2626</v>
      </c>
      <c r="C337" s="2916" t="s">
        <v>2845</v>
      </c>
      <c r="D337" s="2916" t="s">
        <v>2846</v>
      </c>
      <c r="E337" t="s">
        <v>2594</v>
      </c>
      <c r="F337" s="1914">
        <v>12202030.949999999</v>
      </c>
      <c r="G337" s="1914">
        <v>46934.86</v>
      </c>
      <c r="H337" s="1914">
        <f t="shared" si="90"/>
        <v>51924</v>
      </c>
      <c r="J337" s="1913">
        <f>+G337/F337</f>
        <v>3.846479343670244E-3</v>
      </c>
      <c r="K337" s="1913"/>
      <c r="L337" s="1913"/>
    </row>
    <row r="338" spans="1:12" ht="12.75">
      <c r="A338" s="22" t="s">
        <v>2252</v>
      </c>
      <c r="B338" s="22" t="s">
        <v>2627</v>
      </c>
      <c r="C338" s="3014" t="s">
        <v>2847</v>
      </c>
      <c r="D338" s="3014" t="s">
        <v>2848</v>
      </c>
      <c r="E338" t="s">
        <v>2630</v>
      </c>
      <c r="F338" s="1914">
        <v>13349143.380000001</v>
      </c>
      <c r="G338" s="1914">
        <v>54629.24</v>
      </c>
      <c r="H338" s="1914">
        <f t="shared" si="90"/>
        <v>56804.86999999918</v>
      </c>
      <c r="J338" s="1913"/>
      <c r="K338" s="1913"/>
      <c r="L338" s="1913"/>
    </row>
    <row r="339" spans="1:12" ht="12.75">
      <c r="A339" s="1457" t="s">
        <v>2631</v>
      </c>
      <c r="B339" s="1457" t="s">
        <v>2632</v>
      </c>
      <c r="C339" s="3007" t="s">
        <v>2849</v>
      </c>
      <c r="D339" s="3007" t="s">
        <v>2850</v>
      </c>
      <c r="E339" s="1457" t="s">
        <v>2660</v>
      </c>
      <c r="F339" s="1914">
        <v>14440276.869999999</v>
      </c>
      <c r="G339" s="1914">
        <v>31741.200000000001</v>
      </c>
      <c r="J339" s="1913">
        <f>+G339/F339</f>
        <v>2.1981018983052228E-3</v>
      </c>
      <c r="K339" s="1913"/>
      <c r="L339" s="1913"/>
    </row>
    <row r="340" spans="1:12" ht="12.75">
      <c r="A340" s="1228" t="s">
        <v>2851</v>
      </c>
      <c r="B340" s="1228"/>
      <c r="C340" s="2917" t="s">
        <v>2852</v>
      </c>
      <c r="D340" s="1229" t="s">
        <v>2853</v>
      </c>
      <c r="E340"/>
      <c r="F340" s="1918">
        <f>SUM(F335:F339)</f>
        <v>118665238.2</v>
      </c>
      <c r="G340" s="1918">
        <f t="shared" ref="G340:H340" si="91">SUM(G335:G339)</f>
        <v>279319.06</v>
      </c>
      <c r="H340" s="1918">
        <f t="shared" si="91"/>
        <v>1101309.8699999992</v>
      </c>
      <c r="J340" s="1913"/>
      <c r="K340" s="1913"/>
      <c r="L340" s="1913"/>
    </row>
    <row r="341" spans="1:12" ht="12.75">
      <c r="A341" s="3070" t="s">
        <v>1246</v>
      </c>
      <c r="B341" s="3070" t="s">
        <v>2620</v>
      </c>
      <c r="C341" s="3071" t="s">
        <v>2861</v>
      </c>
      <c r="D341" s="3072" t="s">
        <v>2862</v>
      </c>
      <c r="E341" t="s">
        <v>1349</v>
      </c>
      <c r="F341" s="1914">
        <v>58435966</v>
      </c>
      <c r="G341" s="1914">
        <v>45618.45</v>
      </c>
      <c r="H341" s="1914">
        <f t="shared" ref="H341:H344" si="92">+F335-F341</f>
        <v>426541</v>
      </c>
      <c r="J341" s="1913">
        <f>+G339*3</f>
        <v>95223.6</v>
      </c>
      <c r="K341" s="1913"/>
      <c r="L341" s="1913"/>
    </row>
    <row r="342" spans="1:12" ht="12.75">
      <c r="A342" s="3073" t="s">
        <v>1372</v>
      </c>
      <c r="B342" s="3074" t="s">
        <v>2623</v>
      </c>
      <c r="C342" s="3075" t="s">
        <v>2843</v>
      </c>
      <c r="D342" s="3076" t="s">
        <v>804</v>
      </c>
      <c r="E342" t="s">
        <v>1242</v>
      </c>
      <c r="F342" s="1914">
        <v>19811280</v>
      </c>
      <c r="G342" s="1914">
        <v>0</v>
      </c>
      <c r="H342" s="1914">
        <f t="shared" si="92"/>
        <v>0</v>
      </c>
      <c r="J342" s="1914">
        <f>+J341+G339+G333</f>
        <v>147902.18</v>
      </c>
      <c r="K342" s="1913"/>
      <c r="L342" s="1913"/>
    </row>
    <row r="343" spans="1:12" ht="12.75">
      <c r="A343" t="s">
        <v>2249</v>
      </c>
      <c r="B343" t="s">
        <v>2626</v>
      </c>
      <c r="C343" s="2916" t="s">
        <v>2863</v>
      </c>
      <c r="D343" s="3077" t="s">
        <v>2864</v>
      </c>
      <c r="E343" t="s">
        <v>2594</v>
      </c>
      <c r="F343" s="1914">
        <v>12150106.949999999</v>
      </c>
      <c r="G343" s="1914">
        <v>48380.72</v>
      </c>
      <c r="H343" s="1914">
        <f t="shared" si="92"/>
        <v>51924</v>
      </c>
      <c r="J343" s="1913"/>
      <c r="K343" s="1913"/>
      <c r="L343" s="1913"/>
    </row>
    <row r="344" spans="1:12" ht="12.75">
      <c r="A344" s="3073" t="s">
        <v>2252</v>
      </c>
      <c r="B344" s="3074" t="s">
        <v>2627</v>
      </c>
      <c r="C344" s="3075" t="s">
        <v>2865</v>
      </c>
      <c r="D344" s="3076" t="s">
        <v>2866</v>
      </c>
      <c r="E344" t="s">
        <v>2630</v>
      </c>
      <c r="F344" s="1914">
        <v>13292338.51</v>
      </c>
      <c r="G344" s="1914">
        <v>56211.02</v>
      </c>
      <c r="H344" s="1914">
        <f t="shared" si="92"/>
        <v>56804.870000001043</v>
      </c>
      <c r="J344" s="1913"/>
      <c r="K344" s="1913"/>
      <c r="L344" s="1913"/>
    </row>
    <row r="345" spans="1:12" ht="12.75">
      <c r="A345" s="3078" t="s">
        <v>2631</v>
      </c>
      <c r="B345" s="3078" t="s">
        <v>2632</v>
      </c>
      <c r="C345" s="3079" t="s">
        <v>2867</v>
      </c>
      <c r="D345" s="3080" t="s">
        <v>2868</v>
      </c>
      <c r="E345" s="1457" t="s">
        <v>2660</v>
      </c>
      <c r="F345" s="1914">
        <v>17981219.73</v>
      </c>
      <c r="G345" s="1914">
        <v>46255.75</v>
      </c>
      <c r="J345" s="1913"/>
      <c r="K345" s="1913"/>
      <c r="L345" s="1913"/>
    </row>
    <row r="346" spans="1:12" ht="12.75">
      <c r="A346" s="1228" t="s">
        <v>2869</v>
      </c>
      <c r="B346" s="1228"/>
      <c r="C346" s="2917" t="s">
        <v>2870</v>
      </c>
      <c r="D346" s="1229" t="s">
        <v>2871</v>
      </c>
      <c r="E346"/>
      <c r="F346" s="1918">
        <f>SUM(F341:F345)</f>
        <v>121670911.19000001</v>
      </c>
      <c r="G346" s="1918">
        <f t="shared" ref="G346:H346" si="93">SUM(G341:G345)</f>
        <v>196465.94</v>
      </c>
      <c r="H346" s="1918">
        <f t="shared" si="93"/>
        <v>535269.87000000104</v>
      </c>
      <c r="J346" s="1913"/>
      <c r="K346" s="1913"/>
      <c r="L346" s="1913"/>
    </row>
    <row r="347" spans="1:12" ht="12.75">
      <c r="A347" t="s">
        <v>1246</v>
      </c>
      <c r="B347" t="s">
        <v>2620</v>
      </c>
      <c r="C347" s="3050" t="s">
        <v>2924</v>
      </c>
      <c r="D347" s="2916" t="s">
        <v>2925</v>
      </c>
      <c r="E347" t="s">
        <v>1349</v>
      </c>
      <c r="F347" s="1914">
        <v>58009425</v>
      </c>
      <c r="G347" s="1914">
        <v>43826.97</v>
      </c>
      <c r="H347" s="1931">
        <f>+F341-F347</f>
        <v>426541</v>
      </c>
    </row>
    <row r="348" spans="1:12" ht="12.75">
      <c r="A348" t="s">
        <v>1372</v>
      </c>
      <c r="B348" t="s">
        <v>2623</v>
      </c>
      <c r="C348" s="2916" t="s">
        <v>2843</v>
      </c>
      <c r="D348" s="2916" t="s">
        <v>804</v>
      </c>
      <c r="E348" t="s">
        <v>1242</v>
      </c>
      <c r="F348" s="1914">
        <v>19811280</v>
      </c>
      <c r="G348" s="1914">
        <v>0</v>
      </c>
      <c r="H348" s="1931">
        <f t="shared" ref="H348:H351" si="94">+F342-F348</f>
        <v>0</v>
      </c>
    </row>
    <row r="349" spans="1:12" ht="12.75">
      <c r="A349" t="s">
        <v>2249</v>
      </c>
      <c r="B349" t="s">
        <v>2626</v>
      </c>
      <c r="C349" s="2916" t="s">
        <v>2926</v>
      </c>
      <c r="D349" s="2916" t="s">
        <v>2927</v>
      </c>
      <c r="E349" t="s">
        <v>2594</v>
      </c>
      <c r="F349" s="1914">
        <v>12089182.949999999</v>
      </c>
      <c r="G349" s="1914">
        <v>46511.69</v>
      </c>
      <c r="H349" s="1931">
        <f t="shared" si="94"/>
        <v>60924</v>
      </c>
    </row>
    <row r="350" spans="1:12" ht="12.75">
      <c r="A350" s="22" t="s">
        <v>2252</v>
      </c>
      <c r="B350" s="22" t="s">
        <v>2627</v>
      </c>
      <c r="C350" s="3014" t="s">
        <v>2928</v>
      </c>
      <c r="D350" s="3014" t="s">
        <v>2929</v>
      </c>
      <c r="E350" t="s">
        <v>2630</v>
      </c>
      <c r="F350" s="1914">
        <v>13235533.640000001</v>
      </c>
      <c r="G350" s="1914">
        <v>54166.28</v>
      </c>
      <c r="H350" s="1931">
        <f t="shared" si="94"/>
        <v>56804.86999999918</v>
      </c>
    </row>
    <row r="351" spans="1:12" ht="12.75">
      <c r="A351" s="1457" t="s">
        <v>2631</v>
      </c>
      <c r="B351" s="1457" t="s">
        <v>2632</v>
      </c>
      <c r="C351" s="3007" t="s">
        <v>2930</v>
      </c>
      <c r="D351" s="3007" t="s">
        <v>2931</v>
      </c>
      <c r="E351" s="1457" t="s">
        <v>2660</v>
      </c>
      <c r="F351" s="1914">
        <v>19269845.699999999</v>
      </c>
      <c r="G351" s="1914">
        <v>50083.81</v>
      </c>
      <c r="H351" s="1931">
        <f t="shared" si="94"/>
        <v>-1288625.9699999988</v>
      </c>
    </row>
    <row r="352" spans="1:12" ht="12.75">
      <c r="A352" s="1228" t="s">
        <v>2932</v>
      </c>
      <c r="B352" s="1228"/>
      <c r="C352" s="2917" t="s">
        <v>2933</v>
      </c>
      <c r="D352" s="1229" t="s">
        <v>2934</v>
      </c>
      <c r="E352"/>
      <c r="F352" s="1918">
        <f>SUM(F347:F351)</f>
        <v>122415267.29000001</v>
      </c>
      <c r="G352" s="1918">
        <f t="shared" ref="G352:H352" si="95">SUM(G347:G351)</f>
        <v>194588.75</v>
      </c>
      <c r="H352" s="1918">
        <f t="shared" si="95"/>
        <v>-744356.09999999963</v>
      </c>
    </row>
    <row r="353" spans="1:8" ht="12.75">
      <c r="A353" t="s">
        <v>1246</v>
      </c>
      <c r="B353" t="s">
        <v>2620</v>
      </c>
      <c r="C353" s="3050" t="s">
        <v>2935</v>
      </c>
      <c r="D353" s="2916" t="s">
        <v>2936</v>
      </c>
      <c r="E353" t="s">
        <v>1349</v>
      </c>
      <c r="F353" s="1914">
        <v>57582884</v>
      </c>
      <c r="G353" s="1914">
        <v>44957.31</v>
      </c>
      <c r="H353" s="1931">
        <f>+F347-F353</f>
        <v>426541</v>
      </c>
    </row>
    <row r="354" spans="1:8" ht="12.75">
      <c r="A354" t="s">
        <v>1372</v>
      </c>
      <c r="B354" t="s">
        <v>2623</v>
      </c>
      <c r="C354" s="2916" t="s">
        <v>2937</v>
      </c>
      <c r="D354" s="2916" t="s">
        <v>2938</v>
      </c>
      <c r="E354" t="s">
        <v>1242</v>
      </c>
      <c r="F354" s="1914">
        <v>19245240</v>
      </c>
      <c r="G354" s="1914">
        <v>101945.55</v>
      </c>
      <c r="H354" s="1931">
        <f>+F348-F354</f>
        <v>566040</v>
      </c>
    </row>
    <row r="355" spans="1:8" ht="12.75">
      <c r="A355" t="s">
        <v>2249</v>
      </c>
      <c r="B355" t="s">
        <v>2626</v>
      </c>
      <c r="C355" s="2916" t="s">
        <v>2939</v>
      </c>
      <c r="D355" s="2916" t="s">
        <v>2940</v>
      </c>
      <c r="E355" t="s">
        <v>2594</v>
      </c>
      <c r="F355" s="1914">
        <v>12034259</v>
      </c>
      <c r="G355" s="1914">
        <v>47943.43</v>
      </c>
      <c r="H355" s="1931">
        <f>+F349-F355</f>
        <v>54923.949999999255</v>
      </c>
    </row>
    <row r="356" spans="1:8" ht="12.75">
      <c r="A356" s="22" t="s">
        <v>2252</v>
      </c>
      <c r="B356" s="22" t="s">
        <v>2627</v>
      </c>
      <c r="C356" s="3014" t="s">
        <v>2941</v>
      </c>
      <c r="D356" s="3014" t="s">
        <v>2942</v>
      </c>
      <c r="E356" t="s">
        <v>2630</v>
      </c>
      <c r="F356" s="1914">
        <v>13178729</v>
      </c>
      <c r="G356" s="1914">
        <v>55732.62</v>
      </c>
      <c r="H356" s="1931">
        <f>+F350-F356</f>
        <v>56804.640000000596</v>
      </c>
    </row>
    <row r="357" spans="1:8" ht="12.75">
      <c r="A357" s="1457" t="s">
        <v>2631</v>
      </c>
      <c r="B357" s="1457" t="s">
        <v>2632</v>
      </c>
      <c r="C357" s="3007" t="s">
        <v>2943</v>
      </c>
      <c r="D357" s="3007" t="s">
        <v>2944</v>
      </c>
      <c r="E357" s="1457" t="s">
        <v>2660</v>
      </c>
      <c r="F357" s="1914">
        <v>35952450</v>
      </c>
      <c r="G357" s="1914">
        <v>67615.19</v>
      </c>
      <c r="H357" s="1931">
        <f t="shared" ref="H357" si="96">+F352-F357</f>
        <v>86462817.290000007</v>
      </c>
    </row>
    <row r="358" spans="1:8" ht="12.75">
      <c r="A358" s="1228" t="s">
        <v>2945</v>
      </c>
      <c r="B358" s="1228"/>
      <c r="C358" s="2917" t="s">
        <v>2946</v>
      </c>
      <c r="D358" s="1229" t="s">
        <v>2947</v>
      </c>
      <c r="E358"/>
      <c r="F358" s="1918">
        <f>SUM(F353:F357)</f>
        <v>137993562</v>
      </c>
      <c r="G358" s="1918">
        <f t="shared" ref="G358:H358" si="97">SUM(G353:G357)</f>
        <v>318194.09999999998</v>
      </c>
      <c r="H358" s="1918">
        <f t="shared" si="97"/>
        <v>87567126.88000001</v>
      </c>
    </row>
  </sheetData>
  <sheetProtection algorithmName="SHA-512" hashValue="I3ads3AQZA79oOa6YBBVokmbZPFUVyqW6bsJKNib4Pbz6yG2lLWBgvBDNzJmo36LNY143H+fHJaMfRVz6ZxgXQ==" saltValue="y7OaR4nljtkKlCS5ZodVYQ==" spinCount="100000" sheet="1" objects="1" scenarios="1"/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64"/>
  <sheetViews>
    <sheetView topLeftCell="A322" zoomScale="80" zoomScaleNormal="80" workbookViewId="0">
      <selection activeCell="A347" sqref="A347:H358"/>
    </sheetView>
  </sheetViews>
  <sheetFormatPr defaultColWidth="9" defaultRowHeight="11.65" outlineLevelRow="1"/>
  <cols>
    <col min="1" max="1" width="12" style="1913" customWidth="1"/>
    <col min="2" max="2" width="18.59765625" style="1913" customWidth="1"/>
    <col min="3" max="3" width="14.73046875" style="1913" customWidth="1"/>
    <col min="4" max="4" width="14.265625" style="1913" customWidth="1"/>
    <col min="5" max="5" width="64.86328125" style="1913" bestFit="1" customWidth="1"/>
    <col min="6" max="6" width="13" style="1914" customWidth="1"/>
    <col min="7" max="7" width="11.73046875" style="1914" customWidth="1"/>
    <col min="8" max="8" width="12" style="1914" customWidth="1"/>
    <col min="9" max="9" width="8.73046875" style="1913" customWidth="1"/>
    <col min="10" max="10" width="13.265625" style="1913" bestFit="1" customWidth="1"/>
    <col min="11" max="11" width="13" style="1913" bestFit="1" customWidth="1"/>
    <col min="12" max="12" width="12.265625" style="1913" bestFit="1" customWidth="1"/>
    <col min="13" max="17" width="8.73046875" style="1913" customWidth="1"/>
    <col min="18" max="16384" width="9" style="1913"/>
  </cols>
  <sheetData>
    <row r="2" spans="1:8">
      <c r="B2" s="712" t="s">
        <v>793</v>
      </c>
      <c r="C2" s="712"/>
    </row>
    <row r="4" spans="1:8">
      <c r="A4" s="1915" t="s">
        <v>794</v>
      </c>
      <c r="B4" s="1915" t="s">
        <v>795</v>
      </c>
      <c r="C4" s="1916" t="s">
        <v>493</v>
      </c>
      <c r="D4" s="1915" t="s">
        <v>796</v>
      </c>
      <c r="F4" s="1916" t="s">
        <v>493</v>
      </c>
      <c r="G4" s="1915" t="s">
        <v>796</v>
      </c>
      <c r="H4" s="3056" t="s">
        <v>1473</v>
      </c>
    </row>
    <row r="5" spans="1:8" outlineLevel="1">
      <c r="C5" s="1917"/>
      <c r="F5" s="1918">
        <v>163848360</v>
      </c>
      <c r="G5" s="1918"/>
      <c r="H5" s="1918"/>
    </row>
    <row r="6" spans="1:8" outlineLevel="1">
      <c r="A6" s="1913" t="s">
        <v>1243</v>
      </c>
      <c r="B6" s="1913" t="s">
        <v>797</v>
      </c>
      <c r="C6" s="1919" t="s">
        <v>1310</v>
      </c>
      <c r="D6" s="1919" t="s">
        <v>1311</v>
      </c>
      <c r="F6" s="1914">
        <v>32727265</v>
      </c>
      <c r="G6" s="1914">
        <v>59882</v>
      </c>
      <c r="H6" s="1914">
        <v>909091</v>
      </c>
    </row>
    <row r="7" spans="1:8" outlineLevel="1">
      <c r="A7" s="1913" t="s">
        <v>1246</v>
      </c>
      <c r="B7" s="1913" t="s">
        <v>1449</v>
      </c>
      <c r="C7" s="1919" t="s">
        <v>1312</v>
      </c>
      <c r="D7" s="1919" t="s">
        <v>1313</v>
      </c>
      <c r="F7" s="1914">
        <v>82748803</v>
      </c>
      <c r="G7" s="1914">
        <v>64460</v>
      </c>
      <c r="H7" s="1914">
        <v>426541</v>
      </c>
    </row>
    <row r="8" spans="1:8" outlineLevel="1">
      <c r="A8" s="1913" t="s">
        <v>1314</v>
      </c>
      <c r="B8" s="1913" t="s">
        <v>1450</v>
      </c>
      <c r="C8" s="1919" t="s">
        <v>994</v>
      </c>
      <c r="D8" s="1919" t="s">
        <v>804</v>
      </c>
      <c r="E8" s="1913" t="s">
        <v>1242</v>
      </c>
      <c r="F8" s="1914">
        <v>30000000</v>
      </c>
      <c r="G8" s="1914">
        <v>0</v>
      </c>
      <c r="H8" s="1914">
        <v>0</v>
      </c>
    </row>
    <row r="9" spans="1:8" outlineLevel="1">
      <c r="A9" s="1913" t="s">
        <v>1249</v>
      </c>
      <c r="B9" s="1913" t="s">
        <v>1451</v>
      </c>
      <c r="C9" s="1919" t="s">
        <v>1315</v>
      </c>
      <c r="D9" s="1919" t="s">
        <v>1316</v>
      </c>
      <c r="E9" s="1913" t="s">
        <v>1252</v>
      </c>
      <c r="F9" s="1914">
        <v>14530000</v>
      </c>
      <c r="G9" s="1914">
        <v>10044</v>
      </c>
      <c r="H9" s="1914">
        <v>50000</v>
      </c>
    </row>
    <row r="10" spans="1:8" outlineLevel="1">
      <c r="A10" s="1913" t="s">
        <v>1253</v>
      </c>
      <c r="B10" s="1913" t="s">
        <v>1452</v>
      </c>
      <c r="C10" s="1919" t="s">
        <v>1317</v>
      </c>
      <c r="D10" s="1919" t="s">
        <v>1306</v>
      </c>
      <c r="E10" s="1913" t="s">
        <v>1256</v>
      </c>
      <c r="F10" s="1914">
        <v>2402770</v>
      </c>
      <c r="G10" s="1914">
        <v>1674</v>
      </c>
      <c r="H10" s="1914">
        <v>13890</v>
      </c>
    </row>
    <row r="11" spans="1:8" outlineLevel="1">
      <c r="A11" s="1920" t="s">
        <v>1318</v>
      </c>
      <c r="B11" s="1920"/>
      <c r="C11" s="1921" t="s">
        <v>1319</v>
      </c>
      <c r="D11" s="1921" t="s">
        <v>1320</v>
      </c>
      <c r="F11" s="1918">
        <f>SUM(F6:F10)</f>
        <v>162408838</v>
      </c>
      <c r="G11" s="1918">
        <f>SUM(G6:G10)</f>
        <v>136060</v>
      </c>
      <c r="H11" s="1918">
        <f>SUM(H6:H10)</f>
        <v>1399522</v>
      </c>
    </row>
    <row r="12" spans="1:8" outlineLevel="1">
      <c r="A12" s="1913" t="s">
        <v>1243</v>
      </c>
      <c r="B12" s="1913" t="s">
        <v>797</v>
      </c>
      <c r="C12" s="1919" t="s">
        <v>1321</v>
      </c>
      <c r="D12" s="1919" t="s">
        <v>1322</v>
      </c>
      <c r="F12" s="1914">
        <v>31818174</v>
      </c>
      <c r="G12" s="1914">
        <v>56254</v>
      </c>
      <c r="H12" s="1914">
        <f t="shared" ref="H12:H75" si="0">+F6-F12</f>
        <v>909091</v>
      </c>
    </row>
    <row r="13" spans="1:8" outlineLevel="1">
      <c r="A13" s="1913" t="s">
        <v>1246</v>
      </c>
      <c r="B13" s="1913" t="s">
        <v>1449</v>
      </c>
      <c r="C13" s="1919" t="s">
        <v>1323</v>
      </c>
      <c r="D13" s="1919" t="s">
        <v>1324</v>
      </c>
      <c r="F13" s="1914">
        <v>82322262</v>
      </c>
      <c r="G13" s="1914">
        <v>57924</v>
      </c>
      <c r="H13" s="1914">
        <f t="shared" si="0"/>
        <v>426541</v>
      </c>
    </row>
    <row r="14" spans="1:8" outlineLevel="1">
      <c r="A14" s="1913" t="s">
        <v>1314</v>
      </c>
      <c r="B14" s="1913" t="s">
        <v>1450</v>
      </c>
      <c r="C14" s="1919" t="s">
        <v>994</v>
      </c>
      <c r="D14" s="1919" t="s">
        <v>804</v>
      </c>
      <c r="E14" s="1913" t="s">
        <v>1242</v>
      </c>
      <c r="F14" s="1914">
        <v>30000000</v>
      </c>
      <c r="G14" s="1914">
        <v>0</v>
      </c>
      <c r="H14" s="1914">
        <f t="shared" si="0"/>
        <v>0</v>
      </c>
    </row>
    <row r="15" spans="1:8" outlineLevel="1">
      <c r="A15" s="1913" t="s">
        <v>1249</v>
      </c>
      <c r="B15" s="1913" t="s">
        <v>1451</v>
      </c>
      <c r="C15" s="1919" t="s">
        <v>1325</v>
      </c>
      <c r="D15" s="1919" t="s">
        <v>1326</v>
      </c>
      <c r="E15" s="1913" t="s">
        <v>1252</v>
      </c>
      <c r="F15" s="1914">
        <v>14480000</v>
      </c>
      <c r="G15" s="1914">
        <v>9153</v>
      </c>
      <c r="H15" s="1914">
        <f t="shared" si="0"/>
        <v>50000</v>
      </c>
    </row>
    <row r="16" spans="1:8" outlineLevel="1">
      <c r="A16" s="1913" t="s">
        <v>1253</v>
      </c>
      <c r="B16" s="1913" t="s">
        <v>1452</v>
      </c>
      <c r="C16" s="1919" t="s">
        <v>1327</v>
      </c>
      <c r="D16" s="1919" t="s">
        <v>1328</v>
      </c>
      <c r="E16" s="1913" t="s">
        <v>1256</v>
      </c>
      <c r="F16" s="1914">
        <v>2388880</v>
      </c>
      <c r="G16" s="1914">
        <v>1513</v>
      </c>
      <c r="H16" s="1914">
        <f t="shared" si="0"/>
        <v>13890</v>
      </c>
    </row>
    <row r="17" spans="1:8" outlineLevel="1">
      <c r="A17" s="1920" t="s">
        <v>1329</v>
      </c>
      <c r="B17" s="1920"/>
      <c r="C17" s="1921" t="s">
        <v>1330</v>
      </c>
      <c r="D17" s="1921" t="s">
        <v>1331</v>
      </c>
      <c r="F17" s="1918">
        <f>SUM(F12:F16)</f>
        <v>161009316</v>
      </c>
      <c r="G17" s="1918">
        <f>SUM(G12:G16)</f>
        <v>124844</v>
      </c>
      <c r="H17" s="1918">
        <f>SUM(H12:H16)</f>
        <v>1399522</v>
      </c>
    </row>
    <row r="18" spans="1:8" outlineLevel="1">
      <c r="A18" s="1913" t="s">
        <v>1243</v>
      </c>
      <c r="B18" s="1913" t="s">
        <v>797</v>
      </c>
      <c r="C18" s="1919" t="s">
        <v>1332</v>
      </c>
      <c r="D18" s="1919" t="s">
        <v>1333</v>
      </c>
      <c r="F18" s="1914">
        <v>30909083</v>
      </c>
      <c r="G18" s="1914">
        <v>64458</v>
      </c>
      <c r="H18" s="1914">
        <f t="shared" si="0"/>
        <v>909091</v>
      </c>
    </row>
    <row r="19" spans="1:8" outlineLevel="1">
      <c r="A19" s="1913" t="s">
        <v>1246</v>
      </c>
      <c r="B19" s="1913" t="s">
        <v>1449</v>
      </c>
      <c r="C19" s="1919" t="s">
        <v>1334</v>
      </c>
      <c r="D19" s="1919" t="s">
        <v>1335</v>
      </c>
      <c r="F19" s="1914">
        <v>81895721</v>
      </c>
      <c r="G19" s="1914">
        <v>63799</v>
      </c>
      <c r="H19" s="1914">
        <f t="shared" si="0"/>
        <v>426541</v>
      </c>
    </row>
    <row r="20" spans="1:8" outlineLevel="1">
      <c r="A20" s="1913" t="s">
        <v>1314</v>
      </c>
      <c r="B20" s="1913" t="s">
        <v>1450</v>
      </c>
      <c r="C20" s="1919" t="s">
        <v>994</v>
      </c>
      <c r="D20" s="1919" t="s">
        <v>1336</v>
      </c>
      <c r="E20" s="1913" t="s">
        <v>1242</v>
      </c>
      <c r="F20" s="1914">
        <v>30000000</v>
      </c>
      <c r="G20" s="1914">
        <v>141375</v>
      </c>
      <c r="H20" s="1914">
        <f t="shared" si="0"/>
        <v>0</v>
      </c>
    </row>
    <row r="21" spans="1:8" outlineLevel="1">
      <c r="A21" s="1913" t="s">
        <v>1249</v>
      </c>
      <c r="B21" s="1913" t="s">
        <v>1451</v>
      </c>
      <c r="C21" s="1919" t="s">
        <v>1337</v>
      </c>
      <c r="D21" s="1919" t="s">
        <v>1338</v>
      </c>
      <c r="E21" s="1913" t="s">
        <v>1252</v>
      </c>
      <c r="F21" s="1914">
        <v>14430000</v>
      </c>
      <c r="G21" s="1914">
        <v>10099</v>
      </c>
      <c r="H21" s="1914">
        <f t="shared" si="0"/>
        <v>50000</v>
      </c>
    </row>
    <row r="22" spans="1:8" outlineLevel="1">
      <c r="A22" s="1913" t="s">
        <v>1253</v>
      </c>
      <c r="B22" s="1913" t="s">
        <v>1452</v>
      </c>
      <c r="C22" s="1919" t="s">
        <v>1339</v>
      </c>
      <c r="D22" s="1919" t="s">
        <v>1340</v>
      </c>
      <c r="E22" s="1913" t="s">
        <v>1256</v>
      </c>
      <c r="F22" s="1914">
        <v>2374990</v>
      </c>
      <c r="G22" s="1914">
        <v>1666</v>
      </c>
      <c r="H22" s="1914">
        <f t="shared" si="0"/>
        <v>13890</v>
      </c>
    </row>
    <row r="23" spans="1:8" outlineLevel="1">
      <c r="A23" s="1920" t="s">
        <v>1341</v>
      </c>
      <c r="B23" s="1920"/>
      <c r="C23" s="1921" t="s">
        <v>1342</v>
      </c>
      <c r="D23" s="1921" t="s">
        <v>1343</v>
      </c>
      <c r="F23" s="1918">
        <f>SUM(F18:F22)</f>
        <v>159609794</v>
      </c>
      <c r="G23" s="1918">
        <f>SUM(G18:G22)</f>
        <v>281397</v>
      </c>
      <c r="H23" s="1918">
        <f>SUM(H18:H22)</f>
        <v>1399522</v>
      </c>
    </row>
    <row r="24" spans="1:8" outlineLevel="1">
      <c r="A24" s="1913" t="s">
        <v>1243</v>
      </c>
      <c r="B24" s="1913" t="s">
        <v>797</v>
      </c>
      <c r="C24" s="1919" t="s">
        <v>1344</v>
      </c>
      <c r="D24" s="1919" t="s">
        <v>1345</v>
      </c>
      <c r="E24" s="1913" t="s">
        <v>1346</v>
      </c>
      <c r="F24" s="1914">
        <v>29999992</v>
      </c>
      <c r="G24" s="1914">
        <v>28590</v>
      </c>
      <c r="H24" s="1914">
        <f t="shared" si="0"/>
        <v>909091</v>
      </c>
    </row>
    <row r="25" spans="1:8" outlineLevel="1">
      <c r="A25" s="1913" t="s">
        <v>1246</v>
      </c>
      <c r="B25" s="1913" t="s">
        <v>1449</v>
      </c>
      <c r="C25" s="1919" t="s">
        <v>1347</v>
      </c>
      <c r="D25" s="1919" t="s">
        <v>1348</v>
      </c>
      <c r="E25" s="1913" t="s">
        <v>1349</v>
      </c>
      <c r="F25" s="1914">
        <v>81469180</v>
      </c>
      <c r="G25" s="1914">
        <v>61421</v>
      </c>
      <c r="H25" s="1914">
        <f t="shared" si="0"/>
        <v>426541</v>
      </c>
    </row>
    <row r="26" spans="1:8" outlineLevel="1">
      <c r="A26" s="1913" t="s">
        <v>1314</v>
      </c>
      <c r="B26" s="1913" t="s">
        <v>1450</v>
      </c>
      <c r="C26" s="1919" t="s">
        <v>994</v>
      </c>
      <c r="D26" s="1919" t="s">
        <v>804</v>
      </c>
      <c r="E26" s="1913" t="s">
        <v>1242</v>
      </c>
      <c r="F26" s="1914">
        <v>30000000</v>
      </c>
      <c r="G26" s="1914">
        <v>0</v>
      </c>
      <c r="H26" s="1914">
        <f t="shared" si="0"/>
        <v>0</v>
      </c>
    </row>
    <row r="27" spans="1:8" outlineLevel="1">
      <c r="A27" s="1913" t="s">
        <v>1249</v>
      </c>
      <c r="B27" s="1913" t="s">
        <v>1451</v>
      </c>
      <c r="C27" s="1919" t="s">
        <v>1350</v>
      </c>
      <c r="D27" s="1919" t="s">
        <v>1351</v>
      </c>
      <c r="E27" s="1913" t="s">
        <v>1252</v>
      </c>
      <c r="F27" s="1914">
        <v>14380000</v>
      </c>
      <c r="G27" s="1914">
        <v>9740</v>
      </c>
      <c r="H27" s="1914">
        <f t="shared" si="0"/>
        <v>50000</v>
      </c>
    </row>
    <row r="28" spans="1:8" outlineLevel="1">
      <c r="A28" s="1913" t="s">
        <v>1253</v>
      </c>
      <c r="B28" s="1913" t="s">
        <v>1452</v>
      </c>
      <c r="C28" s="1919" t="s">
        <v>1352</v>
      </c>
      <c r="D28" s="1919" t="s">
        <v>1353</v>
      </c>
      <c r="E28" s="1913" t="s">
        <v>1256</v>
      </c>
      <c r="F28" s="1914">
        <v>2361100</v>
      </c>
      <c r="G28" s="1914">
        <v>1603</v>
      </c>
      <c r="H28" s="1914">
        <f t="shared" si="0"/>
        <v>13890</v>
      </c>
    </row>
    <row r="29" spans="1:8" outlineLevel="1">
      <c r="A29" s="1920" t="s">
        <v>1354</v>
      </c>
      <c r="B29" s="1920"/>
      <c r="C29" s="1921" t="s">
        <v>1355</v>
      </c>
      <c r="D29" s="1921" t="s">
        <v>1356</v>
      </c>
      <c r="F29" s="1918">
        <f>SUM(F24:F28)</f>
        <v>158210272</v>
      </c>
      <c r="G29" s="1918">
        <f>SUM(G24:G28)</f>
        <v>101354</v>
      </c>
      <c r="H29" s="1918">
        <f>SUM(H24:H28)</f>
        <v>1399522</v>
      </c>
    </row>
    <row r="30" spans="1:8" outlineLevel="1">
      <c r="A30" s="1913" t="s">
        <v>1243</v>
      </c>
      <c r="B30" s="1913" t="s">
        <v>797</v>
      </c>
      <c r="C30" s="1919" t="s">
        <v>1357</v>
      </c>
      <c r="D30" s="1919" t="s">
        <v>1358</v>
      </c>
      <c r="E30" s="1913" t="s">
        <v>1346</v>
      </c>
      <c r="F30" s="1914">
        <v>29090901</v>
      </c>
      <c r="G30" s="1914">
        <v>28674</v>
      </c>
      <c r="H30" s="1914">
        <f t="shared" si="0"/>
        <v>909091</v>
      </c>
    </row>
    <row r="31" spans="1:8" outlineLevel="1">
      <c r="A31" s="1913" t="s">
        <v>1246</v>
      </c>
      <c r="B31" s="1913" t="s">
        <v>1449</v>
      </c>
      <c r="C31" s="1919" t="s">
        <v>1359</v>
      </c>
      <c r="D31" s="1919" t="s">
        <v>1360</v>
      </c>
      <c r="E31" s="1913" t="s">
        <v>1349</v>
      </c>
      <c r="F31" s="1914">
        <v>81042639</v>
      </c>
      <c r="G31" s="1914">
        <v>63138</v>
      </c>
      <c r="H31" s="1914">
        <f t="shared" si="0"/>
        <v>426541</v>
      </c>
    </row>
    <row r="32" spans="1:8" outlineLevel="1">
      <c r="A32" s="1913" t="s">
        <v>1314</v>
      </c>
      <c r="B32" s="1913" t="s">
        <v>1450</v>
      </c>
      <c r="C32" s="1919" t="s">
        <v>994</v>
      </c>
      <c r="D32" s="1919" t="s">
        <v>804</v>
      </c>
      <c r="E32" s="1913" t="s">
        <v>1242</v>
      </c>
      <c r="F32" s="1914">
        <v>30000000</v>
      </c>
      <c r="G32" s="1914">
        <v>0</v>
      </c>
      <c r="H32" s="1914">
        <f t="shared" si="0"/>
        <v>0</v>
      </c>
    </row>
    <row r="33" spans="1:8" outlineLevel="1">
      <c r="A33" s="1913" t="s">
        <v>1249</v>
      </c>
      <c r="B33" s="1913" t="s">
        <v>1451</v>
      </c>
      <c r="C33" s="1919" t="s">
        <v>1361</v>
      </c>
      <c r="D33" s="1919" t="s">
        <v>1362</v>
      </c>
      <c r="E33" s="1913" t="s">
        <v>1252</v>
      </c>
      <c r="F33" s="1914">
        <v>14330000</v>
      </c>
      <c r="G33" s="1914">
        <v>10030</v>
      </c>
      <c r="H33" s="1914">
        <f t="shared" si="0"/>
        <v>50000</v>
      </c>
    </row>
    <row r="34" spans="1:8" outlineLevel="1">
      <c r="A34" s="1913" t="s">
        <v>1253</v>
      </c>
      <c r="B34" s="1913" t="s">
        <v>1452</v>
      </c>
      <c r="C34" s="1919" t="s">
        <v>1363</v>
      </c>
      <c r="D34" s="1919" t="s">
        <v>1364</v>
      </c>
      <c r="E34" s="1913" t="s">
        <v>1256</v>
      </c>
      <c r="F34" s="1914">
        <v>2347210</v>
      </c>
      <c r="G34" s="1914">
        <v>1646</v>
      </c>
      <c r="H34" s="1914">
        <f t="shared" si="0"/>
        <v>13890</v>
      </c>
    </row>
    <row r="35" spans="1:8" outlineLevel="1">
      <c r="A35" s="1920" t="s">
        <v>1365</v>
      </c>
      <c r="B35" s="1920"/>
      <c r="C35" s="1921" t="s">
        <v>1366</v>
      </c>
      <c r="D35" s="1921" t="s">
        <v>1367</v>
      </c>
      <c r="F35" s="1918">
        <f>SUM(F30:F34)</f>
        <v>156810750</v>
      </c>
      <c r="G35" s="1918">
        <f>SUM(G30:G34)</f>
        <v>103488</v>
      </c>
      <c r="H35" s="1918">
        <f>SUM(H30:H34)</f>
        <v>1399522</v>
      </c>
    </row>
    <row r="36" spans="1:8" outlineLevel="1">
      <c r="A36" s="1913" t="s">
        <v>1243</v>
      </c>
      <c r="B36" s="1913" t="s">
        <v>797</v>
      </c>
      <c r="C36" s="1919" t="s">
        <v>1368</v>
      </c>
      <c r="D36" s="1919" t="s">
        <v>1369</v>
      </c>
      <c r="E36" s="1913" t="s">
        <v>1346</v>
      </c>
      <c r="F36" s="1914">
        <v>28181810</v>
      </c>
      <c r="G36" s="1914">
        <v>26909</v>
      </c>
      <c r="H36" s="1914">
        <f t="shared" si="0"/>
        <v>909091</v>
      </c>
    </row>
    <row r="37" spans="1:8" outlineLevel="1">
      <c r="A37" s="1913" t="s">
        <v>1246</v>
      </c>
      <c r="B37" s="1913" t="s">
        <v>1449</v>
      </c>
      <c r="C37" s="1919" t="s">
        <v>1370</v>
      </c>
      <c r="D37" s="1919" t="s">
        <v>1371</v>
      </c>
      <c r="E37" s="1913" t="s">
        <v>1349</v>
      </c>
      <c r="F37" s="1914">
        <v>80616098</v>
      </c>
      <c r="G37" s="1914">
        <v>60871</v>
      </c>
      <c r="H37" s="1914">
        <f t="shared" si="0"/>
        <v>426541</v>
      </c>
    </row>
    <row r="38" spans="1:8" outlineLevel="1">
      <c r="A38" s="1913" t="s">
        <v>1372</v>
      </c>
      <c r="B38" s="1913" t="s">
        <v>1450</v>
      </c>
      <c r="C38" s="1919" t="s">
        <v>1373</v>
      </c>
      <c r="D38" s="1919" t="s">
        <v>1136</v>
      </c>
      <c r="E38" s="1913" t="s">
        <v>1242</v>
      </c>
      <c r="F38" s="1914">
        <v>29433960</v>
      </c>
      <c r="G38" s="1914">
        <v>149500</v>
      </c>
      <c r="H38" s="1914">
        <f t="shared" si="0"/>
        <v>566040</v>
      </c>
    </row>
    <row r="39" spans="1:8" outlineLevel="1">
      <c r="A39" s="1913" t="s">
        <v>1249</v>
      </c>
      <c r="B39" s="1913" t="s">
        <v>1451</v>
      </c>
      <c r="C39" s="1919" t="s">
        <v>1374</v>
      </c>
      <c r="D39" s="1919" t="s">
        <v>1375</v>
      </c>
      <c r="E39" s="1913" t="s">
        <v>1252</v>
      </c>
      <c r="F39" s="1914">
        <v>14280000</v>
      </c>
      <c r="G39" s="1914">
        <v>9672</v>
      </c>
      <c r="H39" s="1914">
        <f t="shared" si="0"/>
        <v>50000</v>
      </c>
    </row>
    <row r="40" spans="1:8" outlineLevel="1">
      <c r="A40" s="1913" t="s">
        <v>1253</v>
      </c>
      <c r="B40" s="1913" t="s">
        <v>1452</v>
      </c>
      <c r="C40" s="1919" t="s">
        <v>1376</v>
      </c>
      <c r="D40" s="1919" t="s">
        <v>1377</v>
      </c>
      <c r="E40" s="1913" t="s">
        <v>1256</v>
      </c>
      <c r="F40" s="1914">
        <v>2333320</v>
      </c>
      <c r="G40" s="1914">
        <v>1593</v>
      </c>
      <c r="H40" s="1914">
        <f t="shared" si="0"/>
        <v>13890</v>
      </c>
    </row>
    <row r="41" spans="1:8" outlineLevel="1">
      <c r="A41" s="1920" t="s">
        <v>1378</v>
      </c>
      <c r="B41" s="1920"/>
      <c r="C41" s="1921" t="s">
        <v>1379</v>
      </c>
      <c r="D41" s="1921" t="s">
        <v>1380</v>
      </c>
      <c r="F41" s="1918">
        <f>SUM(F36:F40)</f>
        <v>154845188</v>
      </c>
      <c r="G41" s="1918">
        <f>SUM(G36:G40)</f>
        <v>248545</v>
      </c>
      <c r="H41" s="1918">
        <f>SUM(H36:H40)</f>
        <v>1965562</v>
      </c>
    </row>
    <row r="42" spans="1:8" outlineLevel="1">
      <c r="A42" s="1913" t="s">
        <v>1243</v>
      </c>
      <c r="B42" s="1913" t="s">
        <v>797</v>
      </c>
      <c r="C42" s="1919" t="s">
        <v>1381</v>
      </c>
      <c r="D42" s="1919" t="s">
        <v>1382</v>
      </c>
      <c r="E42" s="1913" t="s">
        <v>1346</v>
      </c>
      <c r="F42" s="1914">
        <v>27272719</v>
      </c>
      <c r="G42" s="1914">
        <v>33246</v>
      </c>
      <c r="H42" s="1914">
        <f t="shared" si="0"/>
        <v>909091</v>
      </c>
    </row>
    <row r="43" spans="1:8" outlineLevel="1">
      <c r="A43" s="1913" t="s">
        <v>1246</v>
      </c>
      <c r="B43" s="1913" t="s">
        <v>1449</v>
      </c>
      <c r="C43" s="1919" t="s">
        <v>1383</v>
      </c>
      <c r="D43" s="1919" t="s">
        <v>1384</v>
      </c>
      <c r="E43" s="1913" t="s">
        <v>1349</v>
      </c>
      <c r="F43" s="1914">
        <v>80189557</v>
      </c>
      <c r="G43" s="1914">
        <v>62477</v>
      </c>
      <c r="H43" s="1914">
        <f t="shared" si="0"/>
        <v>426541</v>
      </c>
    </row>
    <row r="44" spans="1:8" outlineLevel="1">
      <c r="A44" s="1913" t="s">
        <v>1372</v>
      </c>
      <c r="B44" s="1913" t="s">
        <v>1450</v>
      </c>
      <c r="C44" s="1919" t="s">
        <v>1373</v>
      </c>
      <c r="D44" s="1919" t="s">
        <v>804</v>
      </c>
      <c r="E44" s="1913" t="s">
        <v>1242</v>
      </c>
      <c r="F44" s="1914">
        <v>29433960</v>
      </c>
      <c r="G44" s="1914">
        <v>0</v>
      </c>
      <c r="H44" s="1914">
        <f t="shared" si="0"/>
        <v>0</v>
      </c>
    </row>
    <row r="45" spans="1:8" outlineLevel="1">
      <c r="A45" s="1913" t="s">
        <v>1249</v>
      </c>
      <c r="B45" s="1913" t="s">
        <v>1451</v>
      </c>
      <c r="C45" s="1919" t="s">
        <v>1385</v>
      </c>
      <c r="D45" s="1919" t="s">
        <v>1386</v>
      </c>
      <c r="E45" s="1913" t="s">
        <v>1252</v>
      </c>
      <c r="F45" s="1914">
        <v>14230000</v>
      </c>
      <c r="G45" s="1914">
        <v>13157</v>
      </c>
      <c r="H45" s="1914">
        <f t="shared" si="0"/>
        <v>50000</v>
      </c>
    </row>
    <row r="46" spans="1:8" outlineLevel="1">
      <c r="A46" s="1913" t="s">
        <v>1253</v>
      </c>
      <c r="B46" s="1913" t="s">
        <v>1452</v>
      </c>
      <c r="C46" s="1919" t="s">
        <v>1387</v>
      </c>
      <c r="D46" s="1919" t="s">
        <v>1388</v>
      </c>
      <c r="E46" s="1913" t="s">
        <v>1256</v>
      </c>
      <c r="F46" s="1914">
        <v>2319430</v>
      </c>
      <c r="G46" s="1914">
        <v>1890</v>
      </c>
      <c r="H46" s="1914">
        <f t="shared" si="0"/>
        <v>13890</v>
      </c>
    </row>
    <row r="47" spans="1:8" outlineLevel="1">
      <c r="A47" s="1920" t="s">
        <v>1389</v>
      </c>
      <c r="B47" s="1920"/>
      <c r="C47" s="1921" t="s">
        <v>1390</v>
      </c>
      <c r="D47" s="1921" t="s">
        <v>1391</v>
      </c>
      <c r="F47" s="1918">
        <f>SUM(F42:F46)</f>
        <v>153445666</v>
      </c>
      <c r="G47" s="1918">
        <f>SUM(G42:G46)</f>
        <v>110770</v>
      </c>
      <c r="H47" s="1918">
        <f>SUM(H42:H46)</f>
        <v>1399522</v>
      </c>
    </row>
    <row r="48" spans="1:8" outlineLevel="1">
      <c r="A48" s="1913" t="s">
        <v>1243</v>
      </c>
      <c r="B48" s="1913" t="s">
        <v>797</v>
      </c>
      <c r="C48" s="1919" t="s">
        <v>1392</v>
      </c>
      <c r="D48" s="1919" t="s">
        <v>1393</v>
      </c>
      <c r="E48" s="1913" t="s">
        <v>1346</v>
      </c>
      <c r="F48" s="1914">
        <v>26363628</v>
      </c>
      <c r="G48" s="1914">
        <v>32643.93</v>
      </c>
      <c r="H48" s="1914">
        <f t="shared" si="0"/>
        <v>909091</v>
      </c>
    </row>
    <row r="49" spans="1:8" outlineLevel="1">
      <c r="A49" s="1913" t="s">
        <v>1246</v>
      </c>
      <c r="B49" s="1913" t="s">
        <v>1449</v>
      </c>
      <c r="C49" s="1919" t="s">
        <v>1394</v>
      </c>
      <c r="D49" s="1919" t="s">
        <v>1395</v>
      </c>
      <c r="E49" s="1913" t="s">
        <v>1349</v>
      </c>
      <c r="F49" s="1914">
        <v>79763016</v>
      </c>
      <c r="G49" s="1914">
        <v>62146</v>
      </c>
      <c r="H49" s="1914">
        <f t="shared" si="0"/>
        <v>426541</v>
      </c>
    </row>
    <row r="50" spans="1:8" outlineLevel="1">
      <c r="A50" s="1913" t="s">
        <v>1372</v>
      </c>
      <c r="B50" s="1913" t="s">
        <v>1450</v>
      </c>
      <c r="C50" s="1919" t="s">
        <v>1373</v>
      </c>
      <c r="D50" s="1919" t="s">
        <v>804</v>
      </c>
      <c r="E50" s="1913" t="s">
        <v>1242</v>
      </c>
      <c r="F50" s="1914">
        <v>29433960</v>
      </c>
      <c r="G50" s="1914">
        <v>0</v>
      </c>
      <c r="H50" s="1914">
        <f t="shared" si="0"/>
        <v>0</v>
      </c>
    </row>
    <row r="51" spans="1:8" outlineLevel="1">
      <c r="A51" s="1913" t="s">
        <v>1249</v>
      </c>
      <c r="B51" s="1913" t="s">
        <v>1451</v>
      </c>
      <c r="C51" s="1919" t="s">
        <v>1396</v>
      </c>
      <c r="D51" s="1919" t="s">
        <v>1397</v>
      </c>
      <c r="E51" s="1913" t="s">
        <v>1252</v>
      </c>
      <c r="F51" s="1914">
        <v>14180000</v>
      </c>
      <c r="G51" s="1914">
        <v>13356</v>
      </c>
      <c r="H51" s="1914">
        <f t="shared" si="0"/>
        <v>50000</v>
      </c>
    </row>
    <row r="52" spans="1:8" outlineLevel="1">
      <c r="A52" s="1913" t="s">
        <v>1253</v>
      </c>
      <c r="B52" s="1913" t="s">
        <v>1452</v>
      </c>
      <c r="C52" s="1919" t="s">
        <v>1398</v>
      </c>
      <c r="D52" s="1919" t="s">
        <v>1399</v>
      </c>
      <c r="E52" s="1913" t="s">
        <v>1256</v>
      </c>
      <c r="F52" s="1914">
        <v>2305540</v>
      </c>
      <c r="G52" s="1914">
        <v>2388</v>
      </c>
      <c r="H52" s="1914">
        <f t="shared" si="0"/>
        <v>13890</v>
      </c>
    </row>
    <row r="53" spans="1:8" outlineLevel="1">
      <c r="A53" s="1920" t="s">
        <v>1400</v>
      </c>
      <c r="B53" s="1920"/>
      <c r="C53" s="1921" t="s">
        <v>1401</v>
      </c>
      <c r="D53" s="1921" t="s">
        <v>1402</v>
      </c>
      <c r="F53" s="1918">
        <f>SUM(F48:F52)</f>
        <v>152046144</v>
      </c>
      <c r="G53" s="1918">
        <f>SUM(G48:G52)</f>
        <v>110533.93</v>
      </c>
      <c r="H53" s="1918">
        <f>SUM(H48:H52)</f>
        <v>1399522</v>
      </c>
    </row>
    <row r="54" spans="1:8" outlineLevel="1">
      <c r="A54" s="1913" t="s">
        <v>1243</v>
      </c>
      <c r="B54" s="1913" t="s">
        <v>797</v>
      </c>
      <c r="C54" s="1919" t="s">
        <v>1403</v>
      </c>
      <c r="D54" s="1919" t="s">
        <v>1404</v>
      </c>
      <c r="E54" s="1913" t="s">
        <v>1346</v>
      </c>
      <c r="F54" s="1914">
        <v>25454537</v>
      </c>
      <c r="G54" s="1914">
        <v>35590</v>
      </c>
      <c r="H54" s="1914">
        <f t="shared" si="0"/>
        <v>909091</v>
      </c>
    </row>
    <row r="55" spans="1:8" outlineLevel="1">
      <c r="A55" s="1913" t="s">
        <v>1246</v>
      </c>
      <c r="B55" s="1913" t="s">
        <v>1449</v>
      </c>
      <c r="C55" s="1919" t="s">
        <v>1405</v>
      </c>
      <c r="D55" s="1919" t="s">
        <v>1406</v>
      </c>
      <c r="E55" s="1913" t="s">
        <v>1349</v>
      </c>
      <c r="F55" s="1914">
        <v>79336475</v>
      </c>
      <c r="G55" s="1914">
        <v>59822</v>
      </c>
      <c r="H55" s="1914">
        <f t="shared" si="0"/>
        <v>426541</v>
      </c>
    </row>
    <row r="56" spans="1:8" outlineLevel="1">
      <c r="A56" s="1913" t="s">
        <v>1372</v>
      </c>
      <c r="B56" s="1913" t="s">
        <v>1450</v>
      </c>
      <c r="C56" s="1919" t="s">
        <v>1407</v>
      </c>
      <c r="D56" s="1919" t="s">
        <v>1408</v>
      </c>
      <c r="E56" s="1913" t="s">
        <v>1242</v>
      </c>
      <c r="F56" s="1914">
        <v>28867920</v>
      </c>
      <c r="G56" s="1914">
        <v>149867</v>
      </c>
      <c r="H56" s="1914">
        <f t="shared" si="0"/>
        <v>566040</v>
      </c>
    </row>
    <row r="57" spans="1:8" outlineLevel="1">
      <c r="A57" s="1913" t="s">
        <v>1249</v>
      </c>
      <c r="B57" s="1913" t="s">
        <v>1451</v>
      </c>
      <c r="C57" s="1919" t="s">
        <v>1409</v>
      </c>
      <c r="D57" s="1919" t="s">
        <v>1410</v>
      </c>
      <c r="E57" s="1913" t="s">
        <v>1252</v>
      </c>
      <c r="F57" s="1914">
        <v>14130000</v>
      </c>
      <c r="G57" s="1914">
        <v>15598</v>
      </c>
      <c r="H57" s="1914">
        <f t="shared" si="0"/>
        <v>50000</v>
      </c>
    </row>
    <row r="58" spans="1:8" outlineLevel="1">
      <c r="A58" s="1913" t="s">
        <v>1253</v>
      </c>
      <c r="B58" s="1913" t="s">
        <v>1452</v>
      </c>
      <c r="C58" s="1919" t="s">
        <v>1411</v>
      </c>
      <c r="D58" s="1919" t="s">
        <v>1412</v>
      </c>
      <c r="E58" s="1913" t="s">
        <v>1256</v>
      </c>
      <c r="F58" s="1914">
        <v>2291650</v>
      </c>
      <c r="G58" s="1914">
        <v>2573</v>
      </c>
      <c r="H58" s="1914">
        <f t="shared" si="0"/>
        <v>13890</v>
      </c>
    </row>
    <row r="59" spans="1:8" outlineLevel="1">
      <c r="A59" s="1920" t="s">
        <v>1413</v>
      </c>
      <c r="B59" s="1920"/>
      <c r="C59" s="1921" t="s">
        <v>1414</v>
      </c>
      <c r="D59" s="1921" t="s">
        <v>1415</v>
      </c>
      <c r="F59" s="1918">
        <f>SUM(F54:F58)</f>
        <v>150080582</v>
      </c>
      <c r="G59" s="1918">
        <f>SUM(G54:G58)</f>
        <v>263450</v>
      </c>
      <c r="H59" s="1918">
        <f>SUM(H54:H58)</f>
        <v>1965562</v>
      </c>
    </row>
    <row r="60" spans="1:8" outlineLevel="1">
      <c r="A60" s="1913" t="s">
        <v>1243</v>
      </c>
      <c r="B60" s="1913" t="s">
        <v>797</v>
      </c>
      <c r="C60" s="1919" t="s">
        <v>1416</v>
      </c>
      <c r="D60" s="1919" t="s">
        <v>1417</v>
      </c>
      <c r="E60" s="1913" t="s">
        <v>1346</v>
      </c>
      <c r="F60" s="1914">
        <v>24545446</v>
      </c>
      <c r="G60" s="1914">
        <v>37920</v>
      </c>
      <c r="H60" s="1914">
        <f t="shared" si="0"/>
        <v>909091</v>
      </c>
    </row>
    <row r="61" spans="1:8" outlineLevel="1">
      <c r="A61" s="1913" t="s">
        <v>1246</v>
      </c>
      <c r="B61" s="1913" t="s">
        <v>1449</v>
      </c>
      <c r="C61" s="1919" t="s">
        <v>1418</v>
      </c>
      <c r="D61" s="1919" t="s">
        <v>1419</v>
      </c>
      <c r="E61" s="1913" t="s">
        <v>1349</v>
      </c>
      <c r="F61" s="1914">
        <v>78909934</v>
      </c>
      <c r="G61" s="1914">
        <v>61485</v>
      </c>
      <c r="H61" s="1914">
        <f t="shared" si="0"/>
        <v>426541</v>
      </c>
    </row>
    <row r="62" spans="1:8" outlineLevel="1">
      <c r="A62" s="1913" t="s">
        <v>1372</v>
      </c>
      <c r="B62" s="1913" t="s">
        <v>1450</v>
      </c>
      <c r="C62" s="1919" t="s">
        <v>1407</v>
      </c>
      <c r="D62" s="1919" t="s">
        <v>804</v>
      </c>
      <c r="E62" s="1913" t="s">
        <v>1242</v>
      </c>
      <c r="F62" s="1914">
        <v>28867920</v>
      </c>
      <c r="G62" s="1914">
        <v>0</v>
      </c>
      <c r="H62" s="1914">
        <f t="shared" si="0"/>
        <v>0</v>
      </c>
    </row>
    <row r="63" spans="1:8" outlineLevel="1">
      <c r="A63" s="1913" t="s">
        <v>1249</v>
      </c>
      <c r="B63" s="1913" t="s">
        <v>1451</v>
      </c>
      <c r="C63" s="1919" t="s">
        <v>1420</v>
      </c>
      <c r="D63" s="1919" t="s">
        <v>1421</v>
      </c>
      <c r="E63" s="1913" t="s">
        <v>1252</v>
      </c>
      <c r="F63" s="1914">
        <v>14080000</v>
      </c>
      <c r="G63" s="1914">
        <v>17399</v>
      </c>
      <c r="H63" s="1914">
        <f t="shared" si="0"/>
        <v>50000</v>
      </c>
    </row>
    <row r="64" spans="1:8" outlineLevel="1">
      <c r="A64" s="1913" t="s">
        <v>1253</v>
      </c>
      <c r="B64" s="1913" t="s">
        <v>1452</v>
      </c>
      <c r="C64" s="1919" t="s">
        <v>1422</v>
      </c>
      <c r="D64" s="1919" t="s">
        <v>1423</v>
      </c>
      <c r="E64" s="1913" t="s">
        <v>1256</v>
      </c>
      <c r="F64" s="1914">
        <v>2277760</v>
      </c>
      <c r="G64" s="1914">
        <v>3437</v>
      </c>
      <c r="H64" s="1914">
        <f t="shared" si="0"/>
        <v>13890</v>
      </c>
    </row>
    <row r="65" spans="1:12" outlineLevel="1">
      <c r="A65" s="1920" t="s">
        <v>1424</v>
      </c>
      <c r="B65" s="1920"/>
      <c r="C65" s="1921" t="s">
        <v>1425</v>
      </c>
      <c r="D65" s="1921" t="s">
        <v>1426</v>
      </c>
      <c r="F65" s="1918">
        <f>SUM(F60:F64)</f>
        <v>148681060</v>
      </c>
      <c r="G65" s="1918">
        <f>SUM(G60:G64)</f>
        <v>120241</v>
      </c>
      <c r="H65" s="1918">
        <f>SUM(H60:H64)</f>
        <v>1399522</v>
      </c>
    </row>
    <row r="66" spans="1:12" outlineLevel="1">
      <c r="A66" s="1913" t="s">
        <v>1243</v>
      </c>
      <c r="B66" s="1913" t="s">
        <v>797</v>
      </c>
      <c r="C66" s="1919" t="s">
        <v>1435</v>
      </c>
      <c r="D66" s="1919" t="s">
        <v>1436</v>
      </c>
      <c r="E66" s="1913" t="s">
        <v>1346</v>
      </c>
      <c r="F66" s="1914">
        <v>23636355</v>
      </c>
      <c r="G66" s="1914">
        <v>52210</v>
      </c>
      <c r="H66" s="1914">
        <f t="shared" si="0"/>
        <v>909091</v>
      </c>
    </row>
    <row r="67" spans="1:12" outlineLevel="1">
      <c r="A67" s="1913" t="s">
        <v>1246</v>
      </c>
      <c r="B67" s="1913" t="s">
        <v>1449</v>
      </c>
      <c r="C67" s="1919" t="s">
        <v>1437</v>
      </c>
      <c r="D67" s="1919" t="s">
        <v>1438</v>
      </c>
      <c r="E67" s="1913" t="s">
        <v>1349</v>
      </c>
      <c r="F67" s="1914">
        <v>78483393</v>
      </c>
      <c r="G67" s="1914">
        <v>59182</v>
      </c>
      <c r="H67" s="1914">
        <f t="shared" si="0"/>
        <v>426541</v>
      </c>
    </row>
    <row r="68" spans="1:12" outlineLevel="1">
      <c r="A68" s="1913" t="s">
        <v>1372</v>
      </c>
      <c r="B68" s="1913" t="s">
        <v>1450</v>
      </c>
      <c r="C68" s="1919" t="s">
        <v>1407</v>
      </c>
      <c r="D68" s="1919" t="s">
        <v>804</v>
      </c>
      <c r="E68" s="1913" t="s">
        <v>1242</v>
      </c>
      <c r="F68" s="1914">
        <v>28867920</v>
      </c>
      <c r="G68" s="1914">
        <v>0</v>
      </c>
      <c r="H68" s="1914">
        <f t="shared" si="0"/>
        <v>0</v>
      </c>
    </row>
    <row r="69" spans="1:12" outlineLevel="1">
      <c r="A69" s="1913" t="s">
        <v>1249</v>
      </c>
      <c r="B69" s="1913" t="s">
        <v>1451</v>
      </c>
      <c r="C69" s="1919" t="s">
        <v>1250</v>
      </c>
      <c r="D69" s="1919" t="s">
        <v>1439</v>
      </c>
      <c r="E69" s="1913" t="s">
        <v>1252</v>
      </c>
      <c r="F69" s="1914">
        <v>14030000</v>
      </c>
      <c r="G69" s="1914">
        <v>26400</v>
      </c>
      <c r="H69" s="1914">
        <f t="shared" si="0"/>
        <v>50000</v>
      </c>
    </row>
    <row r="70" spans="1:12" outlineLevel="1">
      <c r="A70" s="1913" t="s">
        <v>1253</v>
      </c>
      <c r="B70" s="1913" t="s">
        <v>1452</v>
      </c>
      <c r="C70" s="1919" t="s">
        <v>1440</v>
      </c>
      <c r="D70" s="1919" t="s">
        <v>1441</v>
      </c>
      <c r="E70" s="1913" t="s">
        <v>1256</v>
      </c>
      <c r="F70" s="1914">
        <v>2263870</v>
      </c>
      <c r="G70" s="1914">
        <v>5162</v>
      </c>
      <c r="H70" s="1914">
        <f t="shared" si="0"/>
        <v>13890</v>
      </c>
    </row>
    <row r="71" spans="1:12" outlineLevel="1">
      <c r="A71" s="1920" t="s">
        <v>1453</v>
      </c>
      <c r="B71" s="1920"/>
      <c r="C71" s="1921" t="s">
        <v>1442</v>
      </c>
      <c r="D71" s="1921" t="s">
        <v>1443</v>
      </c>
      <c r="F71" s="1918">
        <f>SUM(F66:F70)</f>
        <v>147281538</v>
      </c>
      <c r="G71" s="1918">
        <f>SUM(G66:G70)</f>
        <v>142954</v>
      </c>
      <c r="H71" s="1918">
        <f>SUM(H66:H70)</f>
        <v>1399522</v>
      </c>
    </row>
    <row r="72" spans="1:12">
      <c r="A72" s="1913" t="s">
        <v>1243</v>
      </c>
      <c r="B72" s="1913" t="s">
        <v>797</v>
      </c>
      <c r="C72" s="1919" t="s">
        <v>1454</v>
      </c>
      <c r="D72" s="1919" t="s">
        <v>1455</v>
      </c>
      <c r="E72" s="1913" t="s">
        <v>1346</v>
      </c>
      <c r="F72" s="1914">
        <v>22727264</v>
      </c>
      <c r="G72" s="1914">
        <v>74697</v>
      </c>
      <c r="H72" s="1914">
        <f t="shared" si="0"/>
        <v>909091</v>
      </c>
      <c r="J72" s="1914">
        <f>+F72</f>
        <v>22727264</v>
      </c>
      <c r="K72" s="1914">
        <f t="shared" ref="K72:L76" si="1">+G72+G66+G60+G54+G48+G42+G36+G30+G24+G18+G12+G6</f>
        <v>531073.92999999993</v>
      </c>
      <c r="L72" s="1914">
        <f t="shared" si="1"/>
        <v>10909092</v>
      </c>
    </row>
    <row r="73" spans="1:12">
      <c r="A73" s="1913" t="s">
        <v>1246</v>
      </c>
      <c r="B73" s="1913" t="s">
        <v>1449</v>
      </c>
      <c r="C73" s="1919" t="s">
        <v>1456</v>
      </c>
      <c r="D73" s="1919" t="s">
        <v>1457</v>
      </c>
      <c r="E73" s="1913" t="s">
        <v>1349</v>
      </c>
      <c r="F73" s="1914">
        <v>78056852</v>
      </c>
      <c r="G73" s="1914">
        <v>60824</v>
      </c>
      <c r="H73" s="1914">
        <f t="shared" si="0"/>
        <v>426541</v>
      </c>
      <c r="J73" s="1914">
        <f t="shared" ref="J73:J76" si="2">+F73</f>
        <v>78056852</v>
      </c>
      <c r="K73" s="1914">
        <f t="shared" si="1"/>
        <v>737549</v>
      </c>
      <c r="L73" s="1914">
        <f t="shared" si="1"/>
        <v>5118492</v>
      </c>
    </row>
    <row r="74" spans="1:12">
      <c r="A74" s="1913" t="s">
        <v>1372</v>
      </c>
      <c r="B74" s="1913" t="s">
        <v>1450</v>
      </c>
      <c r="C74" s="1919" t="s">
        <v>1458</v>
      </c>
      <c r="D74" s="1919" t="s">
        <v>1459</v>
      </c>
      <c r="E74" s="1913" t="s">
        <v>1242</v>
      </c>
      <c r="F74" s="1914">
        <v>28301880</v>
      </c>
      <c r="G74" s="1914">
        <v>142294</v>
      </c>
      <c r="H74" s="1914">
        <f t="shared" si="0"/>
        <v>566040</v>
      </c>
      <c r="J74" s="1914">
        <f t="shared" si="2"/>
        <v>28301880</v>
      </c>
      <c r="K74" s="1914">
        <f t="shared" si="1"/>
        <v>583036</v>
      </c>
      <c r="L74" s="1914">
        <f t="shared" si="1"/>
        <v>1698120</v>
      </c>
    </row>
    <row r="75" spans="1:12">
      <c r="A75" s="1913" t="s">
        <v>1249</v>
      </c>
      <c r="B75" s="1913" t="s">
        <v>1451</v>
      </c>
      <c r="C75" s="1919" t="s">
        <v>1460</v>
      </c>
      <c r="D75" s="1919" t="s">
        <v>1461</v>
      </c>
      <c r="E75" s="1913" t="s">
        <v>1252</v>
      </c>
      <c r="F75" s="1914">
        <v>13980000</v>
      </c>
      <c r="G75" s="1914">
        <v>40714</v>
      </c>
      <c r="H75" s="1914">
        <f t="shared" si="0"/>
        <v>50000</v>
      </c>
      <c r="J75" s="1914">
        <f t="shared" si="2"/>
        <v>13980000</v>
      </c>
      <c r="K75" s="1914">
        <f t="shared" si="1"/>
        <v>185362</v>
      </c>
      <c r="L75" s="1914">
        <f t="shared" si="1"/>
        <v>600000</v>
      </c>
    </row>
    <row r="76" spans="1:12">
      <c r="A76" s="1913" t="s">
        <v>1253</v>
      </c>
      <c r="B76" s="1913" t="s">
        <v>1452</v>
      </c>
      <c r="C76" s="1919" t="s">
        <v>1462</v>
      </c>
      <c r="D76" s="1919" t="s">
        <v>1463</v>
      </c>
      <c r="E76" s="1913" t="s">
        <v>1256</v>
      </c>
      <c r="F76" s="1914">
        <v>2249980</v>
      </c>
      <c r="G76" s="1914">
        <v>6748</v>
      </c>
      <c r="H76" s="1914">
        <f t="shared" ref="H76" si="3">+F70-F76</f>
        <v>13890</v>
      </c>
      <c r="J76" s="1914">
        <f t="shared" si="2"/>
        <v>2249980</v>
      </c>
      <c r="K76" s="1914">
        <f t="shared" si="1"/>
        <v>31893</v>
      </c>
      <c r="L76" s="1914">
        <f t="shared" si="1"/>
        <v>166680</v>
      </c>
    </row>
    <row r="77" spans="1:12">
      <c r="A77" s="1922" t="s">
        <v>1464</v>
      </c>
      <c r="B77" s="1922"/>
      <c r="C77" s="1923" t="s">
        <v>1465</v>
      </c>
      <c r="D77" s="1923" t="s">
        <v>1466</v>
      </c>
      <c r="F77" s="1918">
        <f>SUM(F72:F76)</f>
        <v>145315976</v>
      </c>
      <c r="G77" s="1918">
        <f>SUM(G72:G76)</f>
        <v>325277</v>
      </c>
      <c r="H77" s="1918">
        <f>SUM(H72:H76)</f>
        <v>1965562</v>
      </c>
      <c r="J77" s="1918">
        <f>SUM(J72:J76)</f>
        <v>145315976</v>
      </c>
      <c r="K77" s="1918">
        <f t="shared" ref="K77:L77" si="4">SUM(K72:K76)</f>
        <v>2068913.93</v>
      </c>
      <c r="L77" s="1918">
        <f t="shared" si="4"/>
        <v>18492384</v>
      </c>
    </row>
    <row r="78" spans="1:12" outlineLevel="1">
      <c r="A78" s="1913" t="s">
        <v>1243</v>
      </c>
      <c r="B78" s="1913" t="s">
        <v>797</v>
      </c>
      <c r="C78" s="1919" t="s">
        <v>1475</v>
      </c>
      <c r="D78" s="1919" t="s">
        <v>1476</v>
      </c>
      <c r="E78" s="1913" t="s">
        <v>1346</v>
      </c>
      <c r="F78" s="1914">
        <v>21818173</v>
      </c>
      <c r="G78" s="1914">
        <v>91199</v>
      </c>
      <c r="H78" s="1914">
        <f>+F72-F78</f>
        <v>909091</v>
      </c>
    </row>
    <row r="79" spans="1:12" outlineLevel="1">
      <c r="A79" s="1913" t="s">
        <v>1246</v>
      </c>
      <c r="B79" s="1913" t="s">
        <v>1449</v>
      </c>
      <c r="C79" s="1919" t="s">
        <v>1477</v>
      </c>
      <c r="D79" s="1919" t="s">
        <v>1478</v>
      </c>
      <c r="E79" s="1913" t="s">
        <v>1349</v>
      </c>
      <c r="F79" s="1914">
        <v>77630311</v>
      </c>
      <c r="G79" s="1914">
        <v>60494</v>
      </c>
      <c r="H79" s="1914">
        <f>+F73-F79</f>
        <v>426541</v>
      </c>
    </row>
    <row r="80" spans="1:12" outlineLevel="1">
      <c r="A80" s="1913" t="s">
        <v>1372</v>
      </c>
      <c r="B80" s="1913" t="s">
        <v>1450</v>
      </c>
      <c r="C80" s="1919" t="s">
        <v>1458</v>
      </c>
      <c r="D80" s="1919" t="s">
        <v>804</v>
      </c>
      <c r="E80" s="1913" t="s">
        <v>1242</v>
      </c>
      <c r="F80" s="1914">
        <v>28301880</v>
      </c>
      <c r="G80" s="1914">
        <v>0</v>
      </c>
      <c r="H80" s="1914">
        <f>+F74-F80</f>
        <v>0</v>
      </c>
    </row>
    <row r="81" spans="1:8" outlineLevel="1">
      <c r="A81" s="1913" t="s">
        <v>1249</v>
      </c>
      <c r="B81" s="1913" t="s">
        <v>1451</v>
      </c>
      <c r="C81" s="1919" t="s">
        <v>1479</v>
      </c>
      <c r="D81" s="1919" t="s">
        <v>1480</v>
      </c>
      <c r="E81" s="1913" t="s">
        <v>1252</v>
      </c>
      <c r="F81" s="1914">
        <v>13920000</v>
      </c>
      <c r="G81" s="1914">
        <v>7676</v>
      </c>
      <c r="H81" s="1914">
        <f>+F75-F81</f>
        <v>60000</v>
      </c>
    </row>
    <row r="82" spans="1:8" outlineLevel="1">
      <c r="A82" s="1913" t="s">
        <v>1253</v>
      </c>
      <c r="B82" s="1913" t="s">
        <v>1452</v>
      </c>
      <c r="C82" s="1919" t="s">
        <v>1481</v>
      </c>
      <c r="D82" s="1919" t="s">
        <v>1482</v>
      </c>
      <c r="E82" s="1913" t="s">
        <v>1256</v>
      </c>
      <c r="F82" s="1914">
        <v>2236090</v>
      </c>
      <c r="G82" s="1914">
        <v>52487</v>
      </c>
      <c r="H82" s="1914">
        <f>+F76-F82</f>
        <v>13890</v>
      </c>
    </row>
    <row r="83" spans="1:8" outlineLevel="1">
      <c r="A83" s="1920" t="s">
        <v>1483</v>
      </c>
      <c r="B83" s="1920"/>
      <c r="C83" s="1921" t="s">
        <v>1484</v>
      </c>
      <c r="D83" s="1921" t="s">
        <v>1485</v>
      </c>
      <c r="F83" s="1918">
        <f>SUM(F78:F82)</f>
        <v>143906454</v>
      </c>
      <c r="G83" s="1918">
        <f t="shared" ref="G83:H83" si="5">SUM(G78:G82)</f>
        <v>211856</v>
      </c>
      <c r="H83" s="1918">
        <f t="shared" si="5"/>
        <v>1409522</v>
      </c>
    </row>
    <row r="84" spans="1:8" outlineLevel="1">
      <c r="A84" s="1913" t="s">
        <v>1243</v>
      </c>
      <c r="B84" s="1913" t="s">
        <v>797</v>
      </c>
      <c r="C84" s="1919" t="s">
        <v>1486</v>
      </c>
      <c r="D84" s="1919" t="s">
        <v>1487</v>
      </c>
      <c r="E84" s="1913" t="s">
        <v>1346</v>
      </c>
      <c r="F84" s="1914">
        <v>20909082</v>
      </c>
      <c r="G84" s="1914">
        <v>82133</v>
      </c>
      <c r="H84" s="1914">
        <f>+F78-F84</f>
        <v>909091</v>
      </c>
    </row>
    <row r="85" spans="1:8" outlineLevel="1">
      <c r="A85" s="1913" t="s">
        <v>1246</v>
      </c>
      <c r="B85" s="1913" t="s">
        <v>1449</v>
      </c>
      <c r="C85" s="1919" t="s">
        <v>1488</v>
      </c>
      <c r="D85" s="1919" t="s">
        <v>1489</v>
      </c>
      <c r="E85" s="1913" t="s">
        <v>1349</v>
      </c>
      <c r="F85" s="1914">
        <v>77203770</v>
      </c>
      <c r="G85" s="1914">
        <v>54341</v>
      </c>
      <c r="H85" s="1914">
        <f>+F79-F85</f>
        <v>426541</v>
      </c>
    </row>
    <row r="86" spans="1:8" outlineLevel="1">
      <c r="A86" s="1913" t="s">
        <v>1372</v>
      </c>
      <c r="B86" s="1913" t="s">
        <v>1450</v>
      </c>
      <c r="C86" s="1919" t="s">
        <v>1458</v>
      </c>
      <c r="D86" s="1919" t="s">
        <v>804</v>
      </c>
      <c r="E86" s="1913" t="s">
        <v>1242</v>
      </c>
      <c r="F86" s="1914">
        <v>28301880</v>
      </c>
      <c r="G86" s="1914">
        <v>0</v>
      </c>
      <c r="H86" s="1914">
        <f>+F80-F86</f>
        <v>0</v>
      </c>
    </row>
    <row r="87" spans="1:8" outlineLevel="1">
      <c r="A87" s="1913" t="s">
        <v>1249</v>
      </c>
      <c r="B87" s="1913" t="s">
        <v>1451</v>
      </c>
      <c r="C87" s="1919" t="s">
        <v>1490</v>
      </c>
      <c r="D87" s="1919" t="s">
        <v>1491</v>
      </c>
      <c r="E87" s="1913" t="s">
        <v>1252</v>
      </c>
      <c r="F87" s="1914">
        <v>13860000</v>
      </c>
      <c r="G87" s="1914">
        <v>49153</v>
      </c>
      <c r="H87" s="1914">
        <f>+F81-F87</f>
        <v>60000</v>
      </c>
    </row>
    <row r="88" spans="1:8" outlineLevel="1">
      <c r="A88" s="1913" t="s">
        <v>1253</v>
      </c>
      <c r="B88" s="1913" t="s">
        <v>1452</v>
      </c>
      <c r="C88" s="1919" t="s">
        <v>1492</v>
      </c>
      <c r="D88" s="1919" t="s">
        <v>1493</v>
      </c>
      <c r="E88" s="1913" t="s">
        <v>1256</v>
      </c>
      <c r="F88" s="1914">
        <v>2222200</v>
      </c>
      <c r="G88" s="1914">
        <v>8146</v>
      </c>
      <c r="H88" s="1914">
        <f>+F82-F88</f>
        <v>13890</v>
      </c>
    </row>
    <row r="89" spans="1:8" outlineLevel="1">
      <c r="A89" s="1920" t="s">
        <v>1494</v>
      </c>
      <c r="B89" s="1920"/>
      <c r="C89" s="1921" t="s">
        <v>1495</v>
      </c>
      <c r="D89" s="1921" t="s">
        <v>1496</v>
      </c>
      <c r="F89" s="1918">
        <f>SUM(F84:F88)</f>
        <v>142496932</v>
      </c>
      <c r="G89" s="1918">
        <f t="shared" ref="G89:H89" si="6">SUM(G84:G88)</f>
        <v>193773</v>
      </c>
      <c r="H89" s="1918">
        <f t="shared" si="6"/>
        <v>1409522</v>
      </c>
    </row>
    <row r="90" spans="1:8" outlineLevel="1">
      <c r="A90" s="1913" t="s">
        <v>1243</v>
      </c>
      <c r="B90" s="1913" t="s">
        <v>797</v>
      </c>
      <c r="C90" s="1919" t="s">
        <v>1510</v>
      </c>
      <c r="D90" s="1919" t="s">
        <v>1511</v>
      </c>
      <c r="E90" s="1913" t="s">
        <v>1346</v>
      </c>
      <c r="F90" s="1914">
        <v>19999991</v>
      </c>
      <c r="G90" s="1914">
        <v>97227</v>
      </c>
      <c r="H90" s="1914">
        <f>+F84-F90</f>
        <v>909091</v>
      </c>
    </row>
    <row r="91" spans="1:8" outlineLevel="1">
      <c r="A91" s="1913" t="s">
        <v>1246</v>
      </c>
      <c r="B91" s="1913" t="s">
        <v>1449</v>
      </c>
      <c r="C91" s="1919" t="s">
        <v>1512</v>
      </c>
      <c r="D91" s="1919" t="s">
        <v>1513</v>
      </c>
      <c r="E91" s="1913" t="s">
        <v>1349</v>
      </c>
      <c r="F91" s="1914">
        <v>76777229</v>
      </c>
      <c r="G91" s="1914">
        <v>59832</v>
      </c>
      <c r="H91" s="1914">
        <f t="shared" ref="H91:H94" si="7">+F85-F91</f>
        <v>426541</v>
      </c>
    </row>
    <row r="92" spans="1:8" outlineLevel="1">
      <c r="A92" s="1913" t="s">
        <v>1372</v>
      </c>
      <c r="B92" s="1913" t="s">
        <v>1450</v>
      </c>
      <c r="C92" s="1919" t="s">
        <v>1514</v>
      </c>
      <c r="D92" s="1919" t="s">
        <v>1515</v>
      </c>
      <c r="E92" s="1913" t="s">
        <v>1242</v>
      </c>
      <c r="F92" s="1914">
        <v>27735840</v>
      </c>
      <c r="G92" s="1914">
        <v>134905</v>
      </c>
      <c r="H92" s="1914">
        <f t="shared" si="7"/>
        <v>566040</v>
      </c>
    </row>
    <row r="93" spans="1:8" outlineLevel="1">
      <c r="A93" s="1913" t="s">
        <v>1249</v>
      </c>
      <c r="B93" s="1913" t="s">
        <v>1451</v>
      </c>
      <c r="C93" s="1919" t="s">
        <v>1516</v>
      </c>
      <c r="D93" s="1919" t="s">
        <v>1517</v>
      </c>
      <c r="E93" s="1913" t="s">
        <v>1252</v>
      </c>
      <c r="F93" s="1914">
        <v>13800000</v>
      </c>
      <c r="G93" s="1914">
        <v>60868</v>
      </c>
      <c r="H93" s="1914">
        <f t="shared" si="7"/>
        <v>60000</v>
      </c>
    </row>
    <row r="94" spans="1:8" outlineLevel="1">
      <c r="A94" s="1913" t="s">
        <v>1253</v>
      </c>
      <c r="B94" s="1913" t="s">
        <v>1452</v>
      </c>
      <c r="C94" s="1919" t="s">
        <v>1518</v>
      </c>
      <c r="D94" s="1919" t="s">
        <v>1519</v>
      </c>
      <c r="E94" s="1913" t="s">
        <v>1256</v>
      </c>
      <c r="F94" s="1914">
        <v>2208310</v>
      </c>
      <c r="G94" s="1914">
        <v>9795</v>
      </c>
      <c r="H94" s="1914">
        <f t="shared" si="7"/>
        <v>13890</v>
      </c>
    </row>
    <row r="95" spans="1:8" outlineLevel="1">
      <c r="A95" s="1920" t="s">
        <v>1500</v>
      </c>
      <c r="B95" s="1920"/>
      <c r="C95" s="1921" t="s">
        <v>1520</v>
      </c>
      <c r="D95" s="1921" t="s">
        <v>1521</v>
      </c>
      <c r="F95" s="1918">
        <f t="shared" ref="F95:H107" si="8">SUM(F90:F94)</f>
        <v>140521370</v>
      </c>
      <c r="G95" s="1918">
        <f t="shared" si="8"/>
        <v>362627</v>
      </c>
      <c r="H95" s="1918">
        <f t="shared" si="8"/>
        <v>1975562</v>
      </c>
    </row>
    <row r="96" spans="1:8" outlineLevel="1">
      <c r="A96" s="1913" t="s">
        <v>1243</v>
      </c>
      <c r="B96" s="1913" t="s">
        <v>797</v>
      </c>
      <c r="C96" s="1919" t="s">
        <v>1532</v>
      </c>
      <c r="D96" s="1919" t="s">
        <v>1533</v>
      </c>
      <c r="E96" s="1913" t="s">
        <v>1346</v>
      </c>
      <c r="F96" s="1914">
        <v>19090900</v>
      </c>
      <c r="G96" s="1914">
        <v>93666</v>
      </c>
      <c r="H96" s="1914">
        <f t="shared" ref="H96:H100" si="9">+F90-F96</f>
        <v>909091</v>
      </c>
    </row>
    <row r="97" spans="1:8" outlineLevel="1">
      <c r="A97" s="1913" t="s">
        <v>1246</v>
      </c>
      <c r="B97" s="1913" t="s">
        <v>1449</v>
      </c>
      <c r="C97" s="1919" t="s">
        <v>1534</v>
      </c>
      <c r="D97" s="1919" t="s">
        <v>1535</v>
      </c>
      <c r="E97" s="1913" t="s">
        <v>1349</v>
      </c>
      <c r="F97" s="1914">
        <v>76350688</v>
      </c>
      <c r="G97" s="1914">
        <v>57582</v>
      </c>
      <c r="H97" s="1914">
        <f t="shared" si="9"/>
        <v>426541</v>
      </c>
    </row>
    <row r="98" spans="1:8" outlineLevel="1">
      <c r="A98" s="1913" t="s">
        <v>1372</v>
      </c>
      <c r="B98" s="1913" t="s">
        <v>1450</v>
      </c>
      <c r="C98" s="1919" t="s">
        <v>1514</v>
      </c>
      <c r="D98" s="1919" t="s">
        <v>804</v>
      </c>
      <c r="E98" s="1913" t="s">
        <v>1242</v>
      </c>
      <c r="F98" s="1914">
        <v>27735840</v>
      </c>
      <c r="G98" s="1914">
        <v>0</v>
      </c>
      <c r="H98" s="1914">
        <f t="shared" si="9"/>
        <v>0</v>
      </c>
    </row>
    <row r="99" spans="1:8" outlineLevel="1">
      <c r="A99" s="1913" t="s">
        <v>1249</v>
      </c>
      <c r="B99" s="1913" t="s">
        <v>1451</v>
      </c>
      <c r="C99" s="1919" t="s">
        <v>1536</v>
      </c>
      <c r="D99" s="1919" t="s">
        <v>1537</v>
      </c>
      <c r="E99" s="1913" t="s">
        <v>1252</v>
      </c>
      <c r="F99" s="1914">
        <v>13740000</v>
      </c>
      <c r="G99" s="1914">
        <v>61180</v>
      </c>
      <c r="H99" s="1914">
        <f t="shared" si="9"/>
        <v>60000</v>
      </c>
    </row>
    <row r="100" spans="1:8" outlineLevel="1">
      <c r="A100" s="1913" t="s">
        <v>1253</v>
      </c>
      <c r="B100" s="1913" t="s">
        <v>1452</v>
      </c>
      <c r="C100" s="1919" t="s">
        <v>1538</v>
      </c>
      <c r="D100" s="1919" t="s">
        <v>1539</v>
      </c>
      <c r="E100" s="1913" t="s">
        <v>1256</v>
      </c>
      <c r="F100" s="1914">
        <v>2194420</v>
      </c>
      <c r="G100" s="1914">
        <v>9889</v>
      </c>
      <c r="H100" s="1914">
        <f t="shared" si="9"/>
        <v>13890</v>
      </c>
    </row>
    <row r="101" spans="1:8" outlineLevel="1">
      <c r="A101" s="1920" t="s">
        <v>1501</v>
      </c>
      <c r="B101" s="1920"/>
      <c r="C101" s="1921" t="s">
        <v>1540</v>
      </c>
      <c r="D101" s="1921" t="s">
        <v>1541</v>
      </c>
      <c r="F101" s="1918">
        <f t="shared" ref="F101" si="10">SUM(F96:F100)</f>
        <v>139111848</v>
      </c>
      <c r="G101" s="1918">
        <f t="shared" si="8"/>
        <v>222317</v>
      </c>
      <c r="H101" s="1918">
        <f t="shared" si="8"/>
        <v>1409522</v>
      </c>
    </row>
    <row r="102" spans="1:8" outlineLevel="1">
      <c r="A102" s="1913" t="s">
        <v>1243</v>
      </c>
      <c r="B102" s="1913" t="s">
        <v>797</v>
      </c>
      <c r="C102" s="1919" t="s">
        <v>1542</v>
      </c>
      <c r="D102" s="1919" t="s">
        <v>1543</v>
      </c>
      <c r="E102" s="1913" t="s">
        <v>1346</v>
      </c>
      <c r="F102" s="1914">
        <v>18181809</v>
      </c>
      <c r="G102" s="1914">
        <v>99458</v>
      </c>
      <c r="H102" s="1914">
        <f>+F96-F102</f>
        <v>909091</v>
      </c>
    </row>
    <row r="103" spans="1:8" outlineLevel="1">
      <c r="A103" s="1913" t="s">
        <v>1246</v>
      </c>
      <c r="B103" s="1913" t="s">
        <v>1449</v>
      </c>
      <c r="C103" s="1919" t="s">
        <v>1544</v>
      </c>
      <c r="D103" s="1919" t="s">
        <v>1545</v>
      </c>
      <c r="E103" s="1913" t="s">
        <v>1349</v>
      </c>
      <c r="F103" s="1914">
        <v>75924147</v>
      </c>
      <c r="G103" s="1914">
        <v>59171</v>
      </c>
      <c r="H103" s="1914">
        <f t="shared" ref="H103:H106" si="11">+F97-F103</f>
        <v>426541</v>
      </c>
    </row>
    <row r="104" spans="1:8" outlineLevel="1">
      <c r="A104" s="1913" t="s">
        <v>1372</v>
      </c>
      <c r="B104" s="1913" t="s">
        <v>1450</v>
      </c>
      <c r="C104" s="1919" t="s">
        <v>1514</v>
      </c>
      <c r="D104" s="1919" t="s">
        <v>804</v>
      </c>
      <c r="E104" s="1913" t="s">
        <v>1242</v>
      </c>
      <c r="F104" s="1914">
        <v>27735840</v>
      </c>
      <c r="G104" s="1914">
        <v>0</v>
      </c>
      <c r="H104" s="1914">
        <f t="shared" si="11"/>
        <v>0</v>
      </c>
    </row>
    <row r="105" spans="1:8" outlineLevel="1">
      <c r="A105" s="1913" t="s">
        <v>1249</v>
      </c>
      <c r="B105" s="1913" t="s">
        <v>1451</v>
      </c>
      <c r="C105" s="1919" t="s">
        <v>1546</v>
      </c>
      <c r="D105" s="1919" t="s">
        <v>1547</v>
      </c>
      <c r="E105" s="1913" t="s">
        <v>1252</v>
      </c>
      <c r="F105" s="1914">
        <v>13680000</v>
      </c>
      <c r="G105" s="1914">
        <v>68032</v>
      </c>
      <c r="H105" s="1914">
        <f t="shared" si="11"/>
        <v>60000</v>
      </c>
    </row>
    <row r="106" spans="1:8" outlineLevel="1">
      <c r="A106" s="1913" t="s">
        <v>1253</v>
      </c>
      <c r="B106" s="1913" t="s">
        <v>1452</v>
      </c>
      <c r="C106" s="1919" t="s">
        <v>1548</v>
      </c>
      <c r="D106" s="1919" t="s">
        <v>1549</v>
      </c>
      <c r="E106" s="1913" t="s">
        <v>1256</v>
      </c>
      <c r="F106" s="1914">
        <v>2180530</v>
      </c>
      <c r="G106" s="1914">
        <v>11296</v>
      </c>
      <c r="H106" s="1914">
        <f t="shared" si="11"/>
        <v>13890</v>
      </c>
    </row>
    <row r="107" spans="1:8" outlineLevel="1">
      <c r="A107" s="1920" t="s">
        <v>1502</v>
      </c>
      <c r="B107" s="1920"/>
      <c r="C107" s="1921" t="s">
        <v>1550</v>
      </c>
      <c r="D107" s="1921" t="s">
        <v>1551</v>
      </c>
      <c r="F107" s="1918">
        <f t="shared" ref="F107" si="12">SUM(F102:F106)</f>
        <v>137702326</v>
      </c>
      <c r="G107" s="1918">
        <f t="shared" si="8"/>
        <v>237957</v>
      </c>
      <c r="H107" s="1918">
        <f t="shared" si="8"/>
        <v>1409522</v>
      </c>
    </row>
    <row r="108" spans="1:8" outlineLevel="1">
      <c r="A108" s="1913" t="s">
        <v>1243</v>
      </c>
      <c r="B108" s="1913" t="s">
        <v>797</v>
      </c>
      <c r="C108" s="1919" t="s">
        <v>1563</v>
      </c>
      <c r="D108" s="1919" t="s">
        <v>1564</v>
      </c>
      <c r="E108" s="1913" t="s">
        <v>1346</v>
      </c>
      <c r="F108" s="1914">
        <v>17272718</v>
      </c>
      <c r="G108" s="1914">
        <v>101212</v>
      </c>
      <c r="H108" s="1914">
        <f>+F102-F108</f>
        <v>909091</v>
      </c>
    </row>
    <row r="109" spans="1:8" outlineLevel="1">
      <c r="A109" s="1913" t="s">
        <v>1246</v>
      </c>
      <c r="B109" s="1913" t="s">
        <v>1449</v>
      </c>
      <c r="C109" s="1919" t="s">
        <v>1565</v>
      </c>
      <c r="D109" s="1919" t="s">
        <v>1566</v>
      </c>
      <c r="E109" s="1913" t="s">
        <v>1349</v>
      </c>
      <c r="F109" s="1914">
        <v>75497606</v>
      </c>
      <c r="G109" s="1914">
        <v>56943</v>
      </c>
      <c r="H109" s="1914">
        <f t="shared" ref="H109:H112" si="13">+F103-F109</f>
        <v>426541</v>
      </c>
    </row>
    <row r="110" spans="1:8" outlineLevel="1">
      <c r="A110" s="1913" t="s">
        <v>1372</v>
      </c>
      <c r="B110" s="1913" t="s">
        <v>1450</v>
      </c>
      <c r="C110" s="1919" t="s">
        <v>1567</v>
      </c>
      <c r="D110" s="1919" t="s">
        <v>1568</v>
      </c>
      <c r="E110" s="1913" t="s">
        <v>1242</v>
      </c>
      <c r="F110" s="1914">
        <v>27169800</v>
      </c>
      <c r="G110" s="1914">
        <v>141221</v>
      </c>
      <c r="H110" s="1914">
        <f t="shared" si="13"/>
        <v>566040</v>
      </c>
    </row>
    <row r="111" spans="1:8" outlineLevel="1">
      <c r="A111" s="1913" t="s">
        <v>1249</v>
      </c>
      <c r="B111" s="1913" t="s">
        <v>1451</v>
      </c>
      <c r="C111" s="1919" t="s">
        <v>1569</v>
      </c>
      <c r="D111" s="1919" t="s">
        <v>1570</v>
      </c>
      <c r="E111" s="1913" t="s">
        <v>1252</v>
      </c>
      <c r="F111" s="1914">
        <v>13620000</v>
      </c>
      <c r="G111" s="1914">
        <v>72732</v>
      </c>
      <c r="H111" s="1914">
        <f t="shared" si="13"/>
        <v>60000</v>
      </c>
    </row>
    <row r="112" spans="1:8" outlineLevel="1">
      <c r="A112" s="1913" t="s">
        <v>1253</v>
      </c>
      <c r="B112" s="1913" t="s">
        <v>1452</v>
      </c>
      <c r="C112" s="1919" t="s">
        <v>1571</v>
      </c>
      <c r="D112" s="1919" t="s">
        <v>1572</v>
      </c>
      <c r="E112" s="1913" t="s">
        <v>1256</v>
      </c>
      <c r="F112" s="1914">
        <v>2166640</v>
      </c>
      <c r="G112" s="1914">
        <v>11776</v>
      </c>
      <c r="H112" s="1914">
        <f t="shared" si="13"/>
        <v>13890</v>
      </c>
    </row>
    <row r="113" spans="1:8" outlineLevel="1">
      <c r="A113" s="1920" t="s">
        <v>1503</v>
      </c>
      <c r="B113" s="1920"/>
      <c r="C113" s="1921" t="s">
        <v>1573</v>
      </c>
      <c r="D113" s="1921" t="s">
        <v>1574</v>
      </c>
      <c r="F113" s="1918">
        <f t="shared" ref="F113:H125" si="14">SUM(F108:F112)</f>
        <v>135726764</v>
      </c>
      <c r="G113" s="1918">
        <f t="shared" si="14"/>
        <v>383884</v>
      </c>
      <c r="H113" s="1918">
        <f t="shared" si="14"/>
        <v>1975562</v>
      </c>
    </row>
    <row r="114" spans="1:8" outlineLevel="1">
      <c r="A114" s="1913" t="s">
        <v>1243</v>
      </c>
      <c r="B114" s="1913" t="s">
        <v>797</v>
      </c>
      <c r="C114" s="1919" t="s">
        <v>1983</v>
      </c>
      <c r="D114" s="1919" t="s">
        <v>1984</v>
      </c>
      <c r="E114" s="1913" t="s">
        <v>1346</v>
      </c>
      <c r="F114" s="1914">
        <v>16363627</v>
      </c>
      <c r="G114" s="1914">
        <v>117651</v>
      </c>
      <c r="H114" s="1914">
        <f>+F108-F114</f>
        <v>909091</v>
      </c>
    </row>
    <row r="115" spans="1:8" outlineLevel="1">
      <c r="A115" s="1913" t="s">
        <v>1246</v>
      </c>
      <c r="B115" s="1913" t="s">
        <v>1449</v>
      </c>
      <c r="C115" s="1919" t="s">
        <v>1985</v>
      </c>
      <c r="D115" s="1919" t="s">
        <v>1986</v>
      </c>
      <c r="E115" s="1913" t="s">
        <v>1349</v>
      </c>
      <c r="F115" s="1914">
        <v>75071065</v>
      </c>
      <c r="G115" s="1914">
        <v>58510</v>
      </c>
      <c r="H115" s="1914">
        <f t="shared" ref="H115:H118" si="15">+F109-F115</f>
        <v>426541</v>
      </c>
    </row>
    <row r="116" spans="1:8" outlineLevel="1">
      <c r="A116" s="1913" t="s">
        <v>1372</v>
      </c>
      <c r="B116" s="1913" t="s">
        <v>1450</v>
      </c>
      <c r="C116" s="1919" t="s">
        <v>1567</v>
      </c>
      <c r="D116" s="1919" t="s">
        <v>804</v>
      </c>
      <c r="E116" s="1913" t="s">
        <v>1242</v>
      </c>
      <c r="F116" s="1914">
        <v>27169800</v>
      </c>
      <c r="G116" s="1914">
        <v>0</v>
      </c>
      <c r="H116" s="1914">
        <f t="shared" si="15"/>
        <v>0</v>
      </c>
    </row>
    <row r="117" spans="1:8" outlineLevel="1">
      <c r="A117" s="1913" t="s">
        <v>1249</v>
      </c>
      <c r="B117" s="1913" t="s">
        <v>1451</v>
      </c>
      <c r="C117" s="1919" t="s">
        <v>1987</v>
      </c>
      <c r="D117" s="1919" t="s">
        <v>1988</v>
      </c>
      <c r="E117" s="1913" t="s">
        <v>1252</v>
      </c>
      <c r="F117" s="1914">
        <v>13560000</v>
      </c>
      <c r="G117" s="1914">
        <v>89252</v>
      </c>
      <c r="H117" s="1914">
        <f t="shared" si="15"/>
        <v>60000</v>
      </c>
    </row>
    <row r="118" spans="1:8" outlineLevel="1">
      <c r="A118" s="1913" t="s">
        <v>1253</v>
      </c>
      <c r="B118" s="1913" t="s">
        <v>1452</v>
      </c>
      <c r="C118" s="1919" t="s">
        <v>1989</v>
      </c>
      <c r="D118" s="1919" t="s">
        <v>1990</v>
      </c>
      <c r="E118" s="1913" t="s">
        <v>1256</v>
      </c>
      <c r="F118" s="1914">
        <v>2152750</v>
      </c>
      <c r="G118" s="1914">
        <v>13281</v>
      </c>
      <c r="H118" s="1914">
        <f t="shared" si="15"/>
        <v>13890</v>
      </c>
    </row>
    <row r="119" spans="1:8" outlineLevel="1">
      <c r="A119" s="1920" t="s">
        <v>1504</v>
      </c>
      <c r="B119" s="1920"/>
      <c r="C119" s="1921" t="s">
        <v>1991</v>
      </c>
      <c r="D119" s="1921" t="s">
        <v>1992</v>
      </c>
      <c r="F119" s="1918">
        <f t="shared" ref="F119" si="16">SUM(F114:F118)</f>
        <v>134317242</v>
      </c>
      <c r="G119" s="1918">
        <f t="shared" si="14"/>
        <v>278694</v>
      </c>
      <c r="H119" s="1918">
        <f t="shared" si="14"/>
        <v>1409522</v>
      </c>
    </row>
    <row r="120" spans="1:8" outlineLevel="1">
      <c r="A120" s="1913" t="s">
        <v>1243</v>
      </c>
      <c r="B120" s="1913" t="s">
        <v>797</v>
      </c>
      <c r="C120" s="1919" t="s">
        <v>1993</v>
      </c>
      <c r="D120" s="1919" t="s">
        <v>1994</v>
      </c>
      <c r="E120" s="1913" t="s">
        <v>1346</v>
      </c>
      <c r="F120" s="1914">
        <v>15454536</v>
      </c>
      <c r="G120" s="1914">
        <v>112163</v>
      </c>
      <c r="H120" s="1914">
        <f>+F114-F120</f>
        <v>909091</v>
      </c>
    </row>
    <row r="121" spans="1:8" outlineLevel="1">
      <c r="A121" s="1913" t="s">
        <v>1246</v>
      </c>
      <c r="B121" s="1913" t="s">
        <v>1449</v>
      </c>
      <c r="C121" s="1919" t="s">
        <v>1995</v>
      </c>
      <c r="D121" s="1919" t="s">
        <v>1996</v>
      </c>
      <c r="E121" s="1913" t="s">
        <v>1349</v>
      </c>
      <c r="F121" s="1914">
        <v>74644524</v>
      </c>
      <c r="G121" s="1914">
        <v>58180</v>
      </c>
      <c r="H121" s="1914">
        <f t="shared" ref="H121:H124" si="17">+F115-F121</f>
        <v>426541</v>
      </c>
    </row>
    <row r="122" spans="1:8" outlineLevel="1">
      <c r="A122" s="1913" t="s">
        <v>1372</v>
      </c>
      <c r="B122" s="1913" t="s">
        <v>1450</v>
      </c>
      <c r="C122" s="1919" t="s">
        <v>1567</v>
      </c>
      <c r="D122" s="1919" t="s">
        <v>804</v>
      </c>
      <c r="E122" s="1913" t="s">
        <v>1242</v>
      </c>
      <c r="F122" s="1914">
        <v>27169800</v>
      </c>
      <c r="G122" s="1914">
        <v>0</v>
      </c>
      <c r="H122" s="1914">
        <f t="shared" si="17"/>
        <v>0</v>
      </c>
    </row>
    <row r="123" spans="1:8" outlineLevel="1">
      <c r="A123" s="1913" t="s">
        <v>1249</v>
      </c>
      <c r="B123" s="1913" t="s">
        <v>1451</v>
      </c>
      <c r="C123" s="1919" t="s">
        <v>1997</v>
      </c>
      <c r="D123" s="1919" t="s">
        <v>1998</v>
      </c>
      <c r="E123" s="1913" t="s">
        <v>1252</v>
      </c>
      <c r="F123" s="1914">
        <v>13500000</v>
      </c>
      <c r="G123" s="1914">
        <v>89443</v>
      </c>
      <c r="H123" s="1914">
        <f t="shared" si="17"/>
        <v>60000</v>
      </c>
    </row>
    <row r="124" spans="1:8" outlineLevel="1">
      <c r="A124" s="1913" t="s">
        <v>1253</v>
      </c>
      <c r="B124" s="1913" t="s">
        <v>1452</v>
      </c>
      <c r="C124" s="1919" t="s">
        <v>1999</v>
      </c>
      <c r="D124" s="1919" t="s">
        <v>2000</v>
      </c>
      <c r="E124" s="1913" t="s">
        <v>1256</v>
      </c>
      <c r="F124" s="1914">
        <v>2138860</v>
      </c>
      <c r="G124" s="1914">
        <v>14144</v>
      </c>
      <c r="H124" s="1914">
        <f t="shared" si="17"/>
        <v>13890</v>
      </c>
    </row>
    <row r="125" spans="1:8" outlineLevel="1">
      <c r="A125" s="1920" t="s">
        <v>1505</v>
      </c>
      <c r="B125" s="1920"/>
      <c r="C125" s="1921" t="s">
        <v>2001</v>
      </c>
      <c r="D125" s="1921" t="s">
        <v>2002</v>
      </c>
      <c r="F125" s="1918">
        <f t="shared" ref="F125" si="18">SUM(F120:F124)</f>
        <v>132907720</v>
      </c>
      <c r="G125" s="1918">
        <f t="shared" si="14"/>
        <v>273930</v>
      </c>
      <c r="H125" s="1918">
        <f t="shared" si="14"/>
        <v>1409522</v>
      </c>
    </row>
    <row r="126" spans="1:8" outlineLevel="1">
      <c r="A126" s="1913" t="s">
        <v>1243</v>
      </c>
      <c r="B126" s="1913" t="s">
        <v>797</v>
      </c>
      <c r="C126" s="1919" t="s">
        <v>2003</v>
      </c>
      <c r="D126" s="1919" t="s">
        <v>2004</v>
      </c>
      <c r="E126" s="1913" t="s">
        <v>1346</v>
      </c>
      <c r="F126" s="1914">
        <v>14545445</v>
      </c>
      <c r="G126" s="1914">
        <v>101999</v>
      </c>
      <c r="H126" s="1914">
        <f>+F120-F126</f>
        <v>909091</v>
      </c>
    </row>
    <row r="127" spans="1:8" outlineLevel="1">
      <c r="A127" s="1913" t="s">
        <v>1246</v>
      </c>
      <c r="B127" s="1913" t="s">
        <v>1449</v>
      </c>
      <c r="C127" s="1919" t="s">
        <v>2005</v>
      </c>
      <c r="D127" s="1919" t="s">
        <v>2006</v>
      </c>
      <c r="E127" s="1913" t="s">
        <v>1349</v>
      </c>
      <c r="F127" s="1914">
        <v>74217983</v>
      </c>
      <c r="G127" s="1914">
        <v>55983</v>
      </c>
      <c r="H127" s="1914">
        <f t="shared" ref="H127:H130" si="19">+F121-F127</f>
        <v>426541</v>
      </c>
    </row>
    <row r="128" spans="1:8" outlineLevel="1">
      <c r="A128" s="1913" t="s">
        <v>1372</v>
      </c>
      <c r="B128" s="1913" t="s">
        <v>1450</v>
      </c>
      <c r="C128" s="1919" t="s">
        <v>2007</v>
      </c>
      <c r="D128" s="1919" t="s">
        <v>2008</v>
      </c>
      <c r="E128" s="1913" t="s">
        <v>1242</v>
      </c>
      <c r="F128" s="1914">
        <v>26603760</v>
      </c>
      <c r="G128" s="1914">
        <v>133924</v>
      </c>
      <c r="H128" s="1914">
        <f t="shared" si="19"/>
        <v>566040</v>
      </c>
    </row>
    <row r="129" spans="1:12" outlineLevel="1">
      <c r="A129" s="1913" t="s">
        <v>1249</v>
      </c>
      <c r="B129" s="1913" t="s">
        <v>1451</v>
      </c>
      <c r="C129" s="1919" t="s">
        <v>2009</v>
      </c>
      <c r="D129" s="1919" t="s">
        <v>2010</v>
      </c>
      <c r="E129" s="1913" t="s">
        <v>1252</v>
      </c>
      <c r="F129" s="1914">
        <v>13440000</v>
      </c>
      <c r="G129" s="1914">
        <v>85725</v>
      </c>
      <c r="H129" s="1914">
        <f t="shared" si="19"/>
        <v>60000</v>
      </c>
    </row>
    <row r="130" spans="1:12" outlineLevel="1">
      <c r="A130" s="1913" t="s">
        <v>1253</v>
      </c>
      <c r="B130" s="1913" t="s">
        <v>1452</v>
      </c>
      <c r="C130" s="1919" t="s">
        <v>2011</v>
      </c>
      <c r="D130" s="1919" t="s">
        <v>2012</v>
      </c>
      <c r="E130" s="1913" t="s">
        <v>1256</v>
      </c>
      <c r="F130" s="1914">
        <v>2124970</v>
      </c>
      <c r="G130" s="1914">
        <v>13581</v>
      </c>
      <c r="H130" s="1914">
        <f t="shared" si="19"/>
        <v>13890</v>
      </c>
    </row>
    <row r="131" spans="1:12" outlineLevel="1">
      <c r="A131" s="1920" t="s">
        <v>1506</v>
      </c>
      <c r="B131" s="1920"/>
      <c r="C131" s="1921" t="s">
        <v>2013</v>
      </c>
      <c r="D131" s="1921" t="s">
        <v>2014</v>
      </c>
      <c r="F131" s="1918">
        <f t="shared" ref="F131:H143" si="20">SUM(F126:F130)</f>
        <v>130932158</v>
      </c>
      <c r="G131" s="1918">
        <f t="shared" si="20"/>
        <v>391212</v>
      </c>
      <c r="H131" s="1918">
        <f t="shared" si="20"/>
        <v>1975562</v>
      </c>
    </row>
    <row r="132" spans="1:12" outlineLevel="1">
      <c r="A132" s="1913" t="s">
        <v>1243</v>
      </c>
      <c r="B132" s="1913" t="s">
        <v>797</v>
      </c>
      <c r="C132" s="1919" t="s">
        <v>2015</v>
      </c>
      <c r="D132" s="1919" t="s">
        <v>2016</v>
      </c>
      <c r="E132" s="1913" t="s">
        <v>1346</v>
      </c>
      <c r="F132" s="1914">
        <v>13636354</v>
      </c>
      <c r="G132" s="1914">
        <v>99074</v>
      </c>
      <c r="H132" s="1914">
        <f>+F126-F132</f>
        <v>909091</v>
      </c>
    </row>
    <row r="133" spans="1:12" outlineLevel="1">
      <c r="A133" s="1913" t="s">
        <v>1246</v>
      </c>
      <c r="B133" s="1913" t="s">
        <v>1449</v>
      </c>
      <c r="C133" s="1919" t="s">
        <v>2017</v>
      </c>
      <c r="D133" s="1919" t="s">
        <v>2018</v>
      </c>
      <c r="E133" s="1913" t="s">
        <v>1349</v>
      </c>
      <c r="F133" s="1914">
        <v>73791442</v>
      </c>
      <c r="G133" s="1914">
        <v>57518</v>
      </c>
      <c r="H133" s="1914">
        <f t="shared" ref="H133:H136" si="21">+F127-F133</f>
        <v>426541</v>
      </c>
    </row>
    <row r="134" spans="1:12" outlineLevel="1">
      <c r="A134" s="1913" t="s">
        <v>1372</v>
      </c>
      <c r="B134" s="1913" t="s">
        <v>1450</v>
      </c>
      <c r="C134" s="1919" t="s">
        <v>2007</v>
      </c>
      <c r="D134" s="1919" t="s">
        <v>804</v>
      </c>
      <c r="E134" s="1913" t="s">
        <v>1242</v>
      </c>
      <c r="F134" s="1914">
        <v>26603760</v>
      </c>
      <c r="G134" s="1914">
        <v>0</v>
      </c>
      <c r="H134" s="1914">
        <f t="shared" si="21"/>
        <v>0</v>
      </c>
    </row>
    <row r="135" spans="1:12" outlineLevel="1">
      <c r="A135" s="1913" t="s">
        <v>1249</v>
      </c>
      <c r="B135" s="1913" t="s">
        <v>1451</v>
      </c>
      <c r="C135" s="1919" t="s">
        <v>2019</v>
      </c>
      <c r="D135" s="1919" t="s">
        <v>2020</v>
      </c>
      <c r="E135" s="1913" t="s">
        <v>1252</v>
      </c>
      <c r="F135" s="1914">
        <v>13380000</v>
      </c>
      <c r="G135" s="1914">
        <v>88073</v>
      </c>
      <c r="H135" s="1914">
        <f t="shared" si="21"/>
        <v>60000</v>
      </c>
    </row>
    <row r="136" spans="1:12" outlineLevel="1">
      <c r="A136" s="1913" t="s">
        <v>1253</v>
      </c>
      <c r="B136" s="1913" t="s">
        <v>1452</v>
      </c>
      <c r="C136" s="1919" t="s">
        <v>2021</v>
      </c>
      <c r="D136" s="1919" t="s">
        <v>2022</v>
      </c>
      <c r="E136" s="1913" t="s">
        <v>1256</v>
      </c>
      <c r="F136" s="1914">
        <v>2111080</v>
      </c>
      <c r="G136" s="1914">
        <v>13943</v>
      </c>
      <c r="H136" s="1914">
        <f t="shared" si="21"/>
        <v>13890</v>
      </c>
    </row>
    <row r="137" spans="1:12" outlineLevel="1">
      <c r="A137" s="1920" t="s">
        <v>1507</v>
      </c>
      <c r="B137" s="1920"/>
      <c r="C137" s="1921" t="s">
        <v>2023</v>
      </c>
      <c r="D137" s="1921" t="s">
        <v>2024</v>
      </c>
      <c r="F137" s="1918">
        <f t="shared" ref="F137" si="22">SUM(F132:F136)</f>
        <v>129522636</v>
      </c>
      <c r="G137" s="1918">
        <f t="shared" si="20"/>
        <v>258608</v>
      </c>
      <c r="H137" s="1918">
        <f t="shared" si="20"/>
        <v>1409522</v>
      </c>
    </row>
    <row r="138" spans="1:12" outlineLevel="1">
      <c r="A138" s="1913" t="s">
        <v>1243</v>
      </c>
      <c r="B138" s="1913" t="s">
        <v>797</v>
      </c>
      <c r="C138" s="1919" t="s">
        <v>2025</v>
      </c>
      <c r="D138" s="1919" t="s">
        <v>2026</v>
      </c>
      <c r="E138" s="1913" t="s">
        <v>1346</v>
      </c>
      <c r="F138" s="1914">
        <v>12727263</v>
      </c>
      <c r="G138" s="1914">
        <v>90340</v>
      </c>
      <c r="H138" s="1914">
        <f>+F132-F138</f>
        <v>909091</v>
      </c>
    </row>
    <row r="139" spans="1:12" outlineLevel="1">
      <c r="A139" s="1913" t="s">
        <v>1246</v>
      </c>
      <c r="B139" s="1913" t="s">
        <v>1449</v>
      </c>
      <c r="C139" s="1919" t="s">
        <v>2027</v>
      </c>
      <c r="D139" s="1919" t="s">
        <v>2028</v>
      </c>
      <c r="E139" s="1913" t="s">
        <v>1349</v>
      </c>
      <c r="F139" s="1914">
        <v>73364901</v>
      </c>
      <c r="G139" s="1914">
        <v>55343</v>
      </c>
      <c r="H139" s="1914">
        <f t="shared" ref="H139:H142" si="23">+F133-F139</f>
        <v>426541</v>
      </c>
    </row>
    <row r="140" spans="1:12" outlineLevel="1">
      <c r="A140" s="1913" t="s">
        <v>1372</v>
      </c>
      <c r="B140" s="1913" t="s">
        <v>1450</v>
      </c>
      <c r="C140" s="1919" t="s">
        <v>2007</v>
      </c>
      <c r="D140" s="1919" t="s">
        <v>804</v>
      </c>
      <c r="E140" s="1913" t="s">
        <v>1242</v>
      </c>
      <c r="F140" s="1914">
        <v>26603760</v>
      </c>
      <c r="G140" s="1914">
        <v>0</v>
      </c>
      <c r="H140" s="1914">
        <f t="shared" si="23"/>
        <v>0</v>
      </c>
    </row>
    <row r="141" spans="1:12" outlineLevel="1">
      <c r="A141" s="1913" t="s">
        <v>1249</v>
      </c>
      <c r="B141" s="1913" t="s">
        <v>1451</v>
      </c>
      <c r="C141" s="1919" t="s">
        <v>2029</v>
      </c>
      <c r="D141" s="1919" t="s">
        <v>2030</v>
      </c>
      <c r="E141" s="1913" t="s">
        <v>1252</v>
      </c>
      <c r="F141" s="1914">
        <v>13320000</v>
      </c>
      <c r="G141" s="1914">
        <v>85297</v>
      </c>
      <c r="H141" s="1914">
        <f t="shared" si="23"/>
        <v>60000</v>
      </c>
    </row>
    <row r="142" spans="1:12" outlineLevel="1">
      <c r="A142" s="1913" t="s">
        <v>1253</v>
      </c>
      <c r="B142" s="1913" t="s">
        <v>1452</v>
      </c>
      <c r="C142" s="1919" t="s">
        <v>2031</v>
      </c>
      <c r="D142" s="1919" t="s">
        <v>2032</v>
      </c>
      <c r="E142" s="1913" t="s">
        <v>1256</v>
      </c>
      <c r="F142" s="1914">
        <v>2097190</v>
      </c>
      <c r="G142" s="1914">
        <v>15602</v>
      </c>
      <c r="H142" s="1914">
        <f t="shared" si="23"/>
        <v>13890</v>
      </c>
    </row>
    <row r="143" spans="1:12" outlineLevel="1">
      <c r="A143" s="1920" t="s">
        <v>1508</v>
      </c>
      <c r="B143" s="1920"/>
      <c r="C143" s="1921" t="s">
        <v>2033</v>
      </c>
      <c r="D143" s="1921" t="s">
        <v>2034</v>
      </c>
      <c r="F143" s="1918">
        <f t="shared" ref="F143" si="24">SUM(F138:F142)</f>
        <v>128113114</v>
      </c>
      <c r="G143" s="1918">
        <f t="shared" si="20"/>
        <v>246582</v>
      </c>
      <c r="H143" s="1918">
        <f t="shared" si="20"/>
        <v>1409522</v>
      </c>
    </row>
    <row r="144" spans="1:12">
      <c r="A144" s="1913" t="s">
        <v>1243</v>
      </c>
      <c r="B144" s="1913" t="s">
        <v>797</v>
      </c>
      <c r="C144" s="1919" t="s">
        <v>2035</v>
      </c>
      <c r="D144" s="1919" t="s">
        <v>2036</v>
      </c>
      <c r="E144" s="1913" t="s">
        <v>1346</v>
      </c>
      <c r="F144" s="1914">
        <v>11818172</v>
      </c>
      <c r="G144" s="1914">
        <v>86580</v>
      </c>
      <c r="H144" s="1914">
        <f>+F138-F144</f>
        <v>909091</v>
      </c>
      <c r="J144" s="1914">
        <f>+F144</f>
        <v>11818172</v>
      </c>
      <c r="K144" s="1914">
        <f t="shared" ref="K144:L148" si="25">+G144+G138+G132+G126+G120+G114+G108+G102+G96+G90+G84+G78</f>
        <v>1172702</v>
      </c>
      <c r="L144" s="1914">
        <f t="shared" si="25"/>
        <v>10909092</v>
      </c>
    </row>
    <row r="145" spans="1:12">
      <c r="A145" s="1913" t="s">
        <v>1246</v>
      </c>
      <c r="B145" s="1913" t="s">
        <v>1449</v>
      </c>
      <c r="C145" s="1919" t="s">
        <v>2037</v>
      </c>
      <c r="D145" s="1919" t="s">
        <v>2038</v>
      </c>
      <c r="E145" s="1913" t="s">
        <v>1349</v>
      </c>
      <c r="F145" s="1914">
        <v>72938360</v>
      </c>
      <c r="G145" s="1914">
        <v>56857</v>
      </c>
      <c r="H145" s="1914">
        <f t="shared" ref="H145:H148" si="26">+F139-F145</f>
        <v>426541</v>
      </c>
      <c r="J145" s="1914">
        <f t="shared" ref="J145:J148" si="27">+F145</f>
        <v>72938360</v>
      </c>
      <c r="K145" s="1914">
        <f t="shared" si="25"/>
        <v>690754</v>
      </c>
      <c r="L145" s="1914">
        <f t="shared" si="25"/>
        <v>5118492</v>
      </c>
    </row>
    <row r="146" spans="1:12">
      <c r="A146" s="1913" t="s">
        <v>1372</v>
      </c>
      <c r="B146" s="1913" t="s">
        <v>1450</v>
      </c>
      <c r="C146" s="1919" t="s">
        <v>2039</v>
      </c>
      <c r="D146" s="1919" t="s">
        <v>2040</v>
      </c>
      <c r="E146" s="1913" t="s">
        <v>1242</v>
      </c>
      <c r="F146" s="1914">
        <v>26037720</v>
      </c>
      <c r="G146" s="1914">
        <v>132575</v>
      </c>
      <c r="H146" s="1914">
        <f t="shared" si="26"/>
        <v>566040</v>
      </c>
      <c r="J146" s="1914">
        <f t="shared" si="27"/>
        <v>26037720</v>
      </c>
      <c r="K146" s="1914">
        <f t="shared" si="25"/>
        <v>542625</v>
      </c>
      <c r="L146" s="1914">
        <f t="shared" si="25"/>
        <v>2264160</v>
      </c>
    </row>
    <row r="147" spans="1:12">
      <c r="A147" s="1913" t="s">
        <v>1249</v>
      </c>
      <c r="B147" s="1913" t="s">
        <v>1451</v>
      </c>
      <c r="C147" s="1919" t="s">
        <v>2041</v>
      </c>
      <c r="D147" s="1919" t="s">
        <v>2042</v>
      </c>
      <c r="E147" s="1913" t="s">
        <v>1252</v>
      </c>
      <c r="F147" s="1914">
        <v>13260000</v>
      </c>
      <c r="G147" s="1914">
        <v>87172</v>
      </c>
      <c r="H147" s="1914">
        <f t="shared" si="26"/>
        <v>60000</v>
      </c>
      <c r="J147" s="1914">
        <f t="shared" si="27"/>
        <v>13260000</v>
      </c>
      <c r="K147" s="1914">
        <f t="shared" si="25"/>
        <v>844603</v>
      </c>
      <c r="L147" s="1914">
        <f t="shared" si="25"/>
        <v>720000</v>
      </c>
    </row>
    <row r="148" spans="1:12">
      <c r="A148" s="1913" t="s">
        <v>1253</v>
      </c>
      <c r="B148" s="1913" t="s">
        <v>1452</v>
      </c>
      <c r="C148" s="1919" t="s">
        <v>2043</v>
      </c>
      <c r="D148" s="1919" t="s">
        <v>2044</v>
      </c>
      <c r="E148" s="1913" t="s">
        <v>1256</v>
      </c>
      <c r="F148" s="1914">
        <v>2083300</v>
      </c>
      <c r="G148" s="1914">
        <v>13743</v>
      </c>
      <c r="H148" s="1914">
        <f t="shared" si="26"/>
        <v>13890</v>
      </c>
      <c r="J148" s="1914">
        <f t="shared" si="27"/>
        <v>2083300</v>
      </c>
      <c r="K148" s="1914">
        <f t="shared" si="25"/>
        <v>187683</v>
      </c>
      <c r="L148" s="1914">
        <f t="shared" si="25"/>
        <v>166680</v>
      </c>
    </row>
    <row r="149" spans="1:12">
      <c r="A149" s="1922" t="s">
        <v>1509</v>
      </c>
      <c r="B149" s="1922"/>
      <c r="C149" s="1923" t="s">
        <v>2045</v>
      </c>
      <c r="D149" s="1923" t="s">
        <v>2046</v>
      </c>
      <c r="F149" s="1918">
        <f t="shared" ref="F149:H149" si="28">SUM(F144:F148)</f>
        <v>126137552</v>
      </c>
      <c r="G149" s="1918">
        <f t="shared" si="28"/>
        <v>376927</v>
      </c>
      <c r="H149" s="1918">
        <f t="shared" si="28"/>
        <v>1975562</v>
      </c>
      <c r="J149" s="1918">
        <f>SUM(J144:J148)</f>
        <v>126137552</v>
      </c>
      <c r="K149" s="1918">
        <f t="shared" ref="K149:L149" si="29">SUM(K144:K148)</f>
        <v>3438367</v>
      </c>
      <c r="L149" s="1918">
        <f t="shared" si="29"/>
        <v>19178424</v>
      </c>
    </row>
    <row r="150" spans="1:12" outlineLevel="1">
      <c r="A150" s="1913" t="s">
        <v>1243</v>
      </c>
      <c r="B150" s="1913" t="s">
        <v>797</v>
      </c>
      <c r="C150" s="1919" t="s">
        <v>2047</v>
      </c>
      <c r="D150" s="1919" t="s">
        <v>2048</v>
      </c>
      <c r="E150" s="1913" t="s">
        <v>1346</v>
      </c>
      <c r="F150" s="1914">
        <f>+F144-H144</f>
        <v>10909081</v>
      </c>
      <c r="G150" s="1914">
        <v>80498</v>
      </c>
      <c r="H150" s="1914">
        <f>+F144-F150</f>
        <v>909091</v>
      </c>
    </row>
    <row r="151" spans="1:12" outlineLevel="1">
      <c r="A151" s="1913" t="s">
        <v>1246</v>
      </c>
      <c r="B151" s="1913" t="s">
        <v>1449</v>
      </c>
      <c r="C151" s="1919" t="s">
        <v>2049</v>
      </c>
      <c r="D151" s="1919" t="s">
        <v>2050</v>
      </c>
      <c r="E151" s="1913" t="s">
        <v>1349</v>
      </c>
      <c r="F151" s="1914">
        <f t="shared" ref="F151:F154" si="30">+F145-H145</f>
        <v>72511819</v>
      </c>
      <c r="G151" s="1914">
        <v>56527</v>
      </c>
      <c r="H151" s="1914">
        <f t="shared" ref="H151:H154" si="31">+F145-F151</f>
        <v>426541</v>
      </c>
    </row>
    <row r="152" spans="1:12" outlineLevel="1">
      <c r="A152" s="1913" t="s">
        <v>1372</v>
      </c>
      <c r="B152" s="1913" t="s">
        <v>1450</v>
      </c>
      <c r="C152" s="1919" t="s">
        <v>2039</v>
      </c>
      <c r="D152" s="1919" t="s">
        <v>804</v>
      </c>
      <c r="E152" s="1913" t="s">
        <v>1242</v>
      </c>
      <c r="F152" s="1914">
        <v>26037720</v>
      </c>
      <c r="G152" s="1914">
        <v>0</v>
      </c>
      <c r="H152" s="1914">
        <f t="shared" si="31"/>
        <v>0</v>
      </c>
    </row>
    <row r="153" spans="1:12" outlineLevel="1">
      <c r="A153" s="1913" t="s">
        <v>1249</v>
      </c>
      <c r="B153" s="1913" t="s">
        <v>1451</v>
      </c>
      <c r="C153" s="1919" t="s">
        <v>2051</v>
      </c>
      <c r="D153" s="1919" t="s">
        <v>2052</v>
      </c>
      <c r="E153" s="1913" t="s">
        <v>1252</v>
      </c>
      <c r="F153" s="1914">
        <f t="shared" si="30"/>
        <v>13200000</v>
      </c>
      <c r="G153" s="1914">
        <v>86893</v>
      </c>
      <c r="H153" s="1914">
        <f t="shared" si="31"/>
        <v>60000</v>
      </c>
    </row>
    <row r="154" spans="1:12" outlineLevel="1">
      <c r="A154" s="1913" t="s">
        <v>1253</v>
      </c>
      <c r="B154" s="1913" t="s">
        <v>1452</v>
      </c>
      <c r="C154" s="1919" t="s">
        <v>2053</v>
      </c>
      <c r="D154" s="1919" t="s">
        <v>2054</v>
      </c>
      <c r="E154" s="1913" t="s">
        <v>1256</v>
      </c>
      <c r="F154" s="1914">
        <f t="shared" si="30"/>
        <v>2069410</v>
      </c>
      <c r="G154" s="1914">
        <v>13651</v>
      </c>
      <c r="H154" s="1914">
        <f t="shared" si="31"/>
        <v>13890</v>
      </c>
    </row>
    <row r="155" spans="1:12" outlineLevel="1">
      <c r="A155" s="1920" t="s">
        <v>1981</v>
      </c>
      <c r="B155" s="1920"/>
      <c r="C155" s="1921" t="s">
        <v>2055</v>
      </c>
      <c r="D155" s="1921" t="s">
        <v>2056</v>
      </c>
      <c r="F155" s="1918">
        <f t="shared" ref="F155:H155" si="32">SUM(F150:F154)</f>
        <v>124728030</v>
      </c>
      <c r="G155" s="1918">
        <f t="shared" si="32"/>
        <v>237569</v>
      </c>
      <c r="H155" s="1918">
        <f t="shared" si="32"/>
        <v>1409522</v>
      </c>
    </row>
    <row r="156" spans="1:12" outlineLevel="1">
      <c r="A156" s="1913" t="s">
        <v>1243</v>
      </c>
      <c r="B156" s="1913" t="s">
        <v>797</v>
      </c>
      <c r="C156" s="1919" t="s">
        <v>2069</v>
      </c>
      <c r="D156" s="1919" t="s">
        <v>2070</v>
      </c>
      <c r="E156" s="1913" t="s">
        <v>1346</v>
      </c>
      <c r="F156" s="1914">
        <f>+F150-H150</f>
        <v>9999990</v>
      </c>
      <c r="G156" s="1914">
        <v>67115</v>
      </c>
      <c r="H156" s="1914">
        <f>+F150-F156</f>
        <v>909091</v>
      </c>
    </row>
    <row r="157" spans="1:12" outlineLevel="1">
      <c r="A157" s="1913" t="s">
        <v>1246</v>
      </c>
      <c r="B157" s="1913" t="s">
        <v>1449</v>
      </c>
      <c r="C157" s="1919" t="s">
        <v>2071</v>
      </c>
      <c r="D157" s="1919" t="s">
        <v>2072</v>
      </c>
      <c r="E157" s="1913" t="s">
        <v>1349</v>
      </c>
      <c r="F157" s="1914">
        <f t="shared" ref="F157:F160" si="33">+F151-H151</f>
        <v>72085278</v>
      </c>
      <c r="G157" s="1914">
        <v>50758</v>
      </c>
      <c r="H157" s="1914">
        <f>+F151-F157</f>
        <v>426541</v>
      </c>
    </row>
    <row r="158" spans="1:12" outlineLevel="1">
      <c r="A158" s="1913" t="s">
        <v>1372</v>
      </c>
      <c r="B158" s="1913" t="s">
        <v>1450</v>
      </c>
      <c r="C158" s="1919" t="s">
        <v>2039</v>
      </c>
      <c r="D158" s="1919" t="s">
        <v>804</v>
      </c>
      <c r="E158" s="1913" t="s">
        <v>1242</v>
      </c>
      <c r="F158" s="1914">
        <f>+F152-H152</f>
        <v>26037720</v>
      </c>
      <c r="G158" s="1914">
        <v>0</v>
      </c>
      <c r="H158" s="1914">
        <f t="shared" ref="H158:H160" si="34">+F152-F158</f>
        <v>0</v>
      </c>
    </row>
    <row r="159" spans="1:12" outlineLevel="1">
      <c r="A159" s="1913" t="s">
        <v>1249</v>
      </c>
      <c r="B159" s="1913" t="s">
        <v>1451</v>
      </c>
      <c r="C159" s="1919" t="s">
        <v>2073</v>
      </c>
      <c r="D159" s="1919" t="s">
        <v>2074</v>
      </c>
      <c r="E159" s="1913" t="s">
        <v>1252</v>
      </c>
      <c r="F159" s="1914">
        <f t="shared" si="33"/>
        <v>13140000</v>
      </c>
      <c r="G159" s="1914">
        <v>78129</v>
      </c>
      <c r="H159" s="1914">
        <f t="shared" si="34"/>
        <v>60000</v>
      </c>
    </row>
    <row r="160" spans="1:12" outlineLevel="1">
      <c r="A160" s="1913" t="s">
        <v>1253</v>
      </c>
      <c r="B160" s="1913" t="s">
        <v>1452</v>
      </c>
      <c r="C160" s="1919" t="s">
        <v>2075</v>
      </c>
      <c r="D160" s="1919" t="s">
        <v>2076</v>
      </c>
      <c r="E160" s="1913" t="s">
        <v>1256</v>
      </c>
      <c r="F160" s="1914">
        <f t="shared" si="33"/>
        <v>2055520</v>
      </c>
      <c r="G160" s="1914">
        <v>12248</v>
      </c>
      <c r="H160" s="1914">
        <f t="shared" si="34"/>
        <v>13890</v>
      </c>
    </row>
    <row r="161" spans="1:10" outlineLevel="1">
      <c r="A161" s="1920" t="s">
        <v>1982</v>
      </c>
      <c r="B161" s="1920"/>
      <c r="C161" s="1921" t="s">
        <v>2077</v>
      </c>
      <c r="D161" s="1921" t="s">
        <v>2078</v>
      </c>
      <c r="F161" s="1918">
        <f t="shared" ref="F161:H161" si="35">SUM(F156:F160)</f>
        <v>123318508</v>
      </c>
      <c r="G161" s="1918">
        <f t="shared" si="35"/>
        <v>208250</v>
      </c>
      <c r="H161" s="1918">
        <f t="shared" si="35"/>
        <v>1409522</v>
      </c>
    </row>
    <row r="162" spans="1:10" outlineLevel="1">
      <c r="A162" s="1913" t="s">
        <v>1243</v>
      </c>
      <c r="B162" s="1913" t="s">
        <v>797</v>
      </c>
      <c r="C162" s="1919" t="s">
        <v>2086</v>
      </c>
      <c r="D162" s="1919" t="s">
        <v>2087</v>
      </c>
      <c r="E162" s="1913" t="s">
        <v>1346</v>
      </c>
      <c r="F162" s="1914">
        <f>+F156-H156</f>
        <v>9090899</v>
      </c>
      <c r="G162" s="1914">
        <v>68113</v>
      </c>
      <c r="H162" s="1914">
        <f t="shared" ref="H162:H178" si="36">+F156-F162</f>
        <v>909091</v>
      </c>
      <c r="I162" s="640" t="s">
        <v>2098</v>
      </c>
      <c r="J162" s="640"/>
    </row>
    <row r="163" spans="1:10" outlineLevel="1">
      <c r="A163" s="1913" t="s">
        <v>1246</v>
      </c>
      <c r="B163" s="1913" t="s">
        <v>1449</v>
      </c>
      <c r="C163" s="1919" t="s">
        <v>2088</v>
      </c>
      <c r="D163" s="1919" t="s">
        <v>2089</v>
      </c>
      <c r="E163" s="1913" t="s">
        <v>1349</v>
      </c>
      <c r="F163" s="1914">
        <f t="shared" ref="F163:F166" si="37">+F157-H157</f>
        <v>71658737</v>
      </c>
      <c r="G163" s="1914">
        <v>55866</v>
      </c>
      <c r="H163" s="1914">
        <f t="shared" si="36"/>
        <v>426541</v>
      </c>
      <c r="I163" s="640" t="s">
        <v>2099</v>
      </c>
      <c r="J163" s="640"/>
    </row>
    <row r="164" spans="1:10" outlineLevel="1">
      <c r="A164" s="1913" t="s">
        <v>1372</v>
      </c>
      <c r="B164" s="1913" t="s">
        <v>1450</v>
      </c>
      <c r="C164" s="1919" t="s">
        <v>2090</v>
      </c>
      <c r="D164" s="1919" t="s">
        <v>2091</v>
      </c>
      <c r="E164" s="1913" t="s">
        <v>1242</v>
      </c>
      <c r="F164" s="1914">
        <v>25474680</v>
      </c>
      <c r="G164" s="1914">
        <v>126933</v>
      </c>
      <c r="H164" s="1914">
        <f>+F158-F164</f>
        <v>563040</v>
      </c>
    </row>
    <row r="165" spans="1:10" outlineLevel="1">
      <c r="A165" s="1913" t="s">
        <v>1249</v>
      </c>
      <c r="B165" s="1913" t="s">
        <v>1451</v>
      </c>
      <c r="C165" s="1919" t="s">
        <v>2092</v>
      </c>
      <c r="D165" s="1919" t="s">
        <v>2093</v>
      </c>
      <c r="E165" s="1913" t="s">
        <v>1252</v>
      </c>
      <c r="F165" s="1914">
        <f t="shared" si="37"/>
        <v>13080000</v>
      </c>
      <c r="G165" s="1914">
        <v>86107</v>
      </c>
      <c r="H165" s="1914">
        <f t="shared" si="36"/>
        <v>60000</v>
      </c>
    </row>
    <row r="166" spans="1:10" outlineLevel="1">
      <c r="A166" s="1913" t="s">
        <v>1253</v>
      </c>
      <c r="B166" s="1913" t="s">
        <v>1452</v>
      </c>
      <c r="C166" s="1919" t="s">
        <v>2094</v>
      </c>
      <c r="D166" s="1919" t="s">
        <v>2095</v>
      </c>
      <c r="E166" s="1913" t="s">
        <v>1256</v>
      </c>
      <c r="F166" s="1914">
        <f t="shared" si="37"/>
        <v>2041630</v>
      </c>
      <c r="G166" s="1914">
        <v>13469</v>
      </c>
      <c r="H166" s="1914">
        <f t="shared" si="36"/>
        <v>13890</v>
      </c>
    </row>
    <row r="167" spans="1:10" outlineLevel="1">
      <c r="A167" s="1920" t="s">
        <v>2079</v>
      </c>
      <c r="B167" s="1920"/>
      <c r="C167" s="1921" t="s">
        <v>2096</v>
      </c>
      <c r="D167" s="1921" t="s">
        <v>2097</v>
      </c>
      <c r="F167" s="1918">
        <f>SUM(F162:F166)</f>
        <v>121345946</v>
      </c>
      <c r="G167" s="1918">
        <f t="shared" ref="G167:H167" si="38">SUM(G162:G166)</f>
        <v>350488</v>
      </c>
      <c r="H167" s="1918">
        <f t="shared" si="38"/>
        <v>1972562</v>
      </c>
    </row>
    <row r="168" spans="1:10" outlineLevel="1">
      <c r="A168" s="1913" t="s">
        <v>1243</v>
      </c>
      <c r="B168" s="1913" t="s">
        <v>797</v>
      </c>
      <c r="C168" s="1919" t="s">
        <v>2113</v>
      </c>
      <c r="D168" s="1919" t="s">
        <v>2114</v>
      </c>
      <c r="E168" s="1913" t="s">
        <v>1346</v>
      </c>
      <c r="F168" s="1914">
        <v>8181808</v>
      </c>
      <c r="G168" s="1914">
        <v>59924</v>
      </c>
      <c r="H168" s="1914">
        <f t="shared" si="36"/>
        <v>909091</v>
      </c>
    </row>
    <row r="169" spans="1:10" outlineLevel="1">
      <c r="A169" s="1913" t="s">
        <v>1246</v>
      </c>
      <c r="B169" s="1913" t="s">
        <v>1449</v>
      </c>
      <c r="C169" s="1919" t="s">
        <v>2115</v>
      </c>
      <c r="D169" s="1919" t="s">
        <v>2116</v>
      </c>
      <c r="E169" s="1913" t="s">
        <v>1349</v>
      </c>
      <c r="F169" s="1914">
        <v>71232196</v>
      </c>
      <c r="G169" s="1914">
        <v>53744</v>
      </c>
      <c r="H169" s="1914">
        <f t="shared" si="36"/>
        <v>426541</v>
      </c>
    </row>
    <row r="170" spans="1:10" outlineLevel="1">
      <c r="A170" s="1913" t="s">
        <v>1372</v>
      </c>
      <c r="B170" s="1913" t="s">
        <v>1450</v>
      </c>
      <c r="C170" s="1919" t="s">
        <v>2090</v>
      </c>
      <c r="D170" s="1919" t="s">
        <v>804</v>
      </c>
      <c r="E170" s="1913" t="s">
        <v>1242</v>
      </c>
      <c r="F170" s="1914">
        <v>25471680</v>
      </c>
      <c r="G170" s="1914">
        <v>0</v>
      </c>
      <c r="H170" s="1914">
        <f>+F164-F170</f>
        <v>3000</v>
      </c>
    </row>
    <row r="171" spans="1:10" outlineLevel="1">
      <c r="A171" s="1913" t="s">
        <v>1249</v>
      </c>
      <c r="B171" s="1913" t="s">
        <v>1451</v>
      </c>
      <c r="C171" s="1919" t="s">
        <v>2117</v>
      </c>
      <c r="D171" s="1919" t="s">
        <v>2118</v>
      </c>
      <c r="E171" s="1913" t="s">
        <v>1252</v>
      </c>
      <c r="F171" s="1914">
        <v>13020000</v>
      </c>
      <c r="G171" s="1914">
        <v>82949</v>
      </c>
      <c r="H171" s="1914">
        <f t="shared" si="36"/>
        <v>60000</v>
      </c>
    </row>
    <row r="172" spans="1:10" outlineLevel="1">
      <c r="A172" s="1913" t="s">
        <v>1253</v>
      </c>
      <c r="B172" s="1913" t="s">
        <v>1452</v>
      </c>
      <c r="C172" s="1919" t="s">
        <v>2119</v>
      </c>
      <c r="D172" s="1919" t="s">
        <v>2120</v>
      </c>
      <c r="E172" s="1913" t="s">
        <v>1256</v>
      </c>
      <c r="F172" s="1914">
        <v>2027740</v>
      </c>
      <c r="G172" s="1914">
        <v>12947</v>
      </c>
      <c r="H172" s="1914">
        <f t="shared" si="36"/>
        <v>13890</v>
      </c>
    </row>
    <row r="173" spans="1:10" outlineLevel="1">
      <c r="A173" s="1920" t="s">
        <v>2121</v>
      </c>
      <c r="B173" s="1920"/>
      <c r="C173" s="1921" t="s">
        <v>2122</v>
      </c>
      <c r="D173" s="1921" t="s">
        <v>2123</v>
      </c>
      <c r="F173" s="1918">
        <f>SUM(F168:F172)</f>
        <v>119933424</v>
      </c>
      <c r="G173" s="1918">
        <f t="shared" ref="G173:H173" si="39">SUM(G168:G172)</f>
        <v>209564</v>
      </c>
      <c r="H173" s="1918">
        <f t="shared" si="39"/>
        <v>1412522</v>
      </c>
    </row>
    <row r="174" spans="1:10" outlineLevel="1">
      <c r="A174" s="1913" t="s">
        <v>1243</v>
      </c>
      <c r="B174" s="1913" t="s">
        <v>797</v>
      </c>
      <c r="C174" s="1919" t="s">
        <v>2124</v>
      </c>
      <c r="D174" s="1919" t="s">
        <v>2125</v>
      </c>
      <c r="E174" s="1913" t="s">
        <v>1346</v>
      </c>
      <c r="F174" s="1914">
        <v>7272717</v>
      </c>
      <c r="G174" s="1914">
        <v>55729</v>
      </c>
      <c r="H174" s="1914">
        <f t="shared" si="36"/>
        <v>909091</v>
      </c>
    </row>
    <row r="175" spans="1:10" outlineLevel="1">
      <c r="A175" s="1913" t="s">
        <v>1246</v>
      </c>
      <c r="B175" s="1913" t="s">
        <v>1449</v>
      </c>
      <c r="C175" s="1919" t="s">
        <v>2126</v>
      </c>
      <c r="D175" s="1919" t="s">
        <v>2127</v>
      </c>
      <c r="E175" s="1913" t="s">
        <v>1349</v>
      </c>
      <c r="F175" s="1914">
        <v>70805655</v>
      </c>
      <c r="G175" s="1914">
        <v>55204</v>
      </c>
      <c r="H175" s="1914">
        <f t="shared" si="36"/>
        <v>426541</v>
      </c>
    </row>
    <row r="176" spans="1:10" outlineLevel="1">
      <c r="A176" s="1913" t="s">
        <v>1372</v>
      </c>
      <c r="B176" s="1913" t="s">
        <v>1450</v>
      </c>
      <c r="C176" s="1919" t="s">
        <v>2090</v>
      </c>
      <c r="D176" s="1919" t="s">
        <v>804</v>
      </c>
      <c r="E176" s="1913" t="s">
        <v>1242</v>
      </c>
      <c r="F176" s="1914">
        <v>25471680</v>
      </c>
      <c r="G176" s="1914">
        <v>0</v>
      </c>
      <c r="H176" s="1914">
        <f>+F170-F176</f>
        <v>0</v>
      </c>
    </row>
    <row r="177" spans="1:8" outlineLevel="1">
      <c r="A177" s="1913" t="s">
        <v>1249</v>
      </c>
      <c r="B177" s="1913" t="s">
        <v>1451</v>
      </c>
      <c r="C177" s="1919" t="s">
        <v>2128</v>
      </c>
      <c r="D177" s="1919" t="s">
        <v>2129</v>
      </c>
      <c r="E177" s="1913" t="s">
        <v>1252</v>
      </c>
      <c r="F177" s="1914">
        <v>12960000</v>
      </c>
      <c r="G177" s="1914">
        <v>85320</v>
      </c>
      <c r="H177" s="1914">
        <f t="shared" si="36"/>
        <v>60000</v>
      </c>
    </row>
    <row r="178" spans="1:8" outlineLevel="1">
      <c r="A178" s="1913" t="s">
        <v>1253</v>
      </c>
      <c r="B178" s="1913" t="s">
        <v>1452</v>
      </c>
      <c r="C178" s="1919" t="s">
        <v>2130</v>
      </c>
      <c r="D178" s="1919" t="s">
        <v>2131</v>
      </c>
      <c r="E178" s="1913" t="s">
        <v>1256</v>
      </c>
      <c r="F178" s="1914">
        <v>2013850</v>
      </c>
      <c r="G178" s="1914">
        <v>13287</v>
      </c>
      <c r="H178" s="1914">
        <f t="shared" si="36"/>
        <v>13890</v>
      </c>
    </row>
    <row r="179" spans="1:8" outlineLevel="1">
      <c r="A179" s="1920" t="s">
        <v>2132</v>
      </c>
      <c r="B179" s="1920"/>
      <c r="C179" s="1921" t="s">
        <v>2133</v>
      </c>
      <c r="D179" s="1921" t="s">
        <v>2134</v>
      </c>
      <c r="F179" s="1918">
        <f>SUM(F174:F178)</f>
        <v>118523902</v>
      </c>
      <c r="G179" s="1918">
        <f t="shared" ref="G179:H179" si="40">SUM(G174:G178)</f>
        <v>209540</v>
      </c>
      <c r="H179" s="1918">
        <f t="shared" si="40"/>
        <v>1409522</v>
      </c>
    </row>
    <row r="180" spans="1:8" outlineLevel="1">
      <c r="A180" s="1913" t="s">
        <v>1243</v>
      </c>
      <c r="B180" s="1913" t="s">
        <v>797</v>
      </c>
      <c r="C180" s="1919" t="s">
        <v>2135</v>
      </c>
      <c r="D180" s="1919" t="s">
        <v>2136</v>
      </c>
      <c r="E180" s="1913" t="s">
        <v>1346</v>
      </c>
      <c r="F180" s="1914">
        <v>6363626</v>
      </c>
      <c r="G180" s="1914">
        <v>47878</v>
      </c>
      <c r="H180" s="1914">
        <f t="shared" ref="H180:H184" si="41">+F174-F180</f>
        <v>909091</v>
      </c>
    </row>
    <row r="181" spans="1:8" outlineLevel="1">
      <c r="A181" s="1913" t="s">
        <v>1246</v>
      </c>
      <c r="B181" s="1913" t="s">
        <v>1449</v>
      </c>
      <c r="C181" s="1919" t="s">
        <v>2137</v>
      </c>
      <c r="D181" s="1919" t="s">
        <v>2138</v>
      </c>
      <c r="E181" s="1913" t="s">
        <v>1349</v>
      </c>
      <c r="F181" s="1914">
        <v>70379114</v>
      </c>
      <c r="G181" s="1914">
        <v>53104</v>
      </c>
      <c r="H181" s="1914">
        <f t="shared" si="41"/>
        <v>426541</v>
      </c>
    </row>
    <row r="182" spans="1:8" outlineLevel="1">
      <c r="A182" s="1913" t="s">
        <v>1372</v>
      </c>
      <c r="B182" s="1913" t="s">
        <v>1450</v>
      </c>
      <c r="C182" s="1919" t="s">
        <v>2139</v>
      </c>
      <c r="D182" s="1919" t="s">
        <v>2140</v>
      </c>
      <c r="E182" s="1913" t="s">
        <v>1242</v>
      </c>
      <c r="F182" s="1914">
        <v>24905640</v>
      </c>
      <c r="G182" s="1914">
        <v>125554</v>
      </c>
      <c r="H182" s="1914">
        <f t="shared" si="41"/>
        <v>566040</v>
      </c>
    </row>
    <row r="183" spans="1:8" outlineLevel="1">
      <c r="A183" s="1913" t="s">
        <v>1249</v>
      </c>
      <c r="B183" s="1913" t="s">
        <v>1451</v>
      </c>
      <c r="C183" s="1919" t="s">
        <v>2141</v>
      </c>
      <c r="D183" s="1919" t="s">
        <v>2142</v>
      </c>
      <c r="E183" s="1913" t="s">
        <v>1252</v>
      </c>
      <c r="F183" s="1914">
        <v>12900000</v>
      </c>
      <c r="G183" s="1914">
        <v>82080</v>
      </c>
      <c r="H183" s="1914">
        <f t="shared" si="41"/>
        <v>60000</v>
      </c>
    </row>
    <row r="184" spans="1:8" outlineLevel="1">
      <c r="A184" s="1913" t="s">
        <v>1253</v>
      </c>
      <c r="B184" s="1913" t="s">
        <v>1452</v>
      </c>
      <c r="C184" s="1919" t="s">
        <v>2143</v>
      </c>
      <c r="D184" s="1919" t="s">
        <v>2144</v>
      </c>
      <c r="E184" s="1913" t="s">
        <v>1256</v>
      </c>
      <c r="F184" s="1914">
        <v>1999960</v>
      </c>
      <c r="G184" s="1914">
        <v>12755</v>
      </c>
      <c r="H184" s="1914">
        <f t="shared" si="41"/>
        <v>13890</v>
      </c>
    </row>
    <row r="185" spans="1:8" outlineLevel="1">
      <c r="A185" s="1920" t="s">
        <v>2145</v>
      </c>
      <c r="B185" s="1920"/>
      <c r="C185" s="1921" t="s">
        <v>2146</v>
      </c>
      <c r="D185" s="1921" t="s">
        <v>2147</v>
      </c>
      <c r="F185" s="1918">
        <f t="shared" ref="F185:H185" si="42">SUM(F180:F184)</f>
        <v>116548340</v>
      </c>
      <c r="G185" s="1918">
        <f t="shared" si="42"/>
        <v>321371</v>
      </c>
      <c r="H185" s="1918">
        <f t="shared" si="42"/>
        <v>1975562</v>
      </c>
    </row>
    <row r="186" spans="1:8" outlineLevel="1">
      <c r="A186" s="1913" t="s">
        <v>1243</v>
      </c>
      <c r="B186" s="1913" t="s">
        <v>797</v>
      </c>
      <c r="C186" s="1919" t="s">
        <v>2148</v>
      </c>
      <c r="D186" s="1919" t="s">
        <v>2149</v>
      </c>
      <c r="E186" s="1913" t="s">
        <v>1346</v>
      </c>
      <c r="F186" s="1914">
        <v>5454535</v>
      </c>
      <c r="G186" s="1914">
        <v>43235</v>
      </c>
      <c r="H186" s="1914">
        <f>+F180-F186</f>
        <v>909091</v>
      </c>
    </row>
    <row r="187" spans="1:8" outlineLevel="1">
      <c r="A187" s="1913" t="s">
        <v>1246</v>
      </c>
      <c r="B187" s="1913" t="s">
        <v>1449</v>
      </c>
      <c r="C187" s="1919" t="s">
        <v>2150</v>
      </c>
      <c r="D187" s="1919" t="s">
        <v>2151</v>
      </c>
      <c r="E187" s="1913" t="s">
        <v>1349</v>
      </c>
      <c r="F187" s="1914">
        <v>69952573</v>
      </c>
      <c r="G187" s="1914">
        <v>54543</v>
      </c>
      <c r="H187" s="1914">
        <f t="shared" ref="H187:H190" si="43">+F181-F187</f>
        <v>426541</v>
      </c>
    </row>
    <row r="188" spans="1:8" outlineLevel="1">
      <c r="A188" s="1913" t="s">
        <v>1372</v>
      </c>
      <c r="B188" s="1913" t="s">
        <v>1450</v>
      </c>
      <c r="C188" s="1919" t="s">
        <v>2139</v>
      </c>
      <c r="D188" s="1919" t="s">
        <v>804</v>
      </c>
      <c r="E188" s="1913" t="s">
        <v>1242</v>
      </c>
      <c r="F188" s="1914">
        <v>24905640</v>
      </c>
      <c r="G188" s="1914">
        <v>0</v>
      </c>
      <c r="H188" s="1914">
        <f t="shared" si="43"/>
        <v>0</v>
      </c>
    </row>
    <row r="189" spans="1:8" outlineLevel="1">
      <c r="A189" s="1913" t="s">
        <v>1249</v>
      </c>
      <c r="B189" s="1913" t="s">
        <v>1451</v>
      </c>
      <c r="C189" s="1919" t="s">
        <v>2152</v>
      </c>
      <c r="D189" s="1919" t="s">
        <v>2153</v>
      </c>
      <c r="E189" s="1913" t="s">
        <v>1252</v>
      </c>
      <c r="F189" s="1914">
        <v>12840000</v>
      </c>
      <c r="G189" s="1914">
        <v>84312</v>
      </c>
      <c r="H189" s="1914">
        <f>+F183-F189</f>
        <v>60000</v>
      </c>
    </row>
    <row r="190" spans="1:8" outlineLevel="1">
      <c r="A190" s="1913" t="s">
        <v>1253</v>
      </c>
      <c r="B190" s="1913" t="s">
        <v>1452</v>
      </c>
      <c r="C190" s="1919" t="s">
        <v>2154</v>
      </c>
      <c r="D190" s="1919" t="s">
        <v>2155</v>
      </c>
      <c r="E190" s="1913" t="s">
        <v>1256</v>
      </c>
      <c r="F190" s="1914">
        <v>1986070</v>
      </c>
      <c r="G190" s="1914">
        <v>13063</v>
      </c>
      <c r="H190" s="1914">
        <f t="shared" si="43"/>
        <v>13890</v>
      </c>
    </row>
    <row r="191" spans="1:8" outlineLevel="1">
      <c r="A191" s="1920" t="s">
        <v>2156</v>
      </c>
      <c r="B191" s="1920"/>
      <c r="C191" s="1921" t="s">
        <v>2157</v>
      </c>
      <c r="D191" s="1921" t="s">
        <v>2158</v>
      </c>
      <c r="F191" s="1918">
        <f t="shared" ref="F191:H191" si="44">SUM(F186:F190)</f>
        <v>115138818</v>
      </c>
      <c r="G191" s="1918">
        <f t="shared" si="44"/>
        <v>195153</v>
      </c>
      <c r="H191" s="1918">
        <f t="shared" si="44"/>
        <v>1409522</v>
      </c>
    </row>
    <row r="192" spans="1:8" outlineLevel="1">
      <c r="A192" s="1924" t="s">
        <v>1253</v>
      </c>
      <c r="B192" s="1913" t="s">
        <v>1452</v>
      </c>
      <c r="C192" s="1925" t="s">
        <v>2237</v>
      </c>
      <c r="D192" s="1919" t="s">
        <v>2238</v>
      </c>
      <c r="E192" s="1913" t="s">
        <v>1256</v>
      </c>
      <c r="G192" s="1914">
        <v>12127</v>
      </c>
    </row>
    <row r="193" spans="1:8" outlineLevel="1">
      <c r="A193" s="1924" t="s">
        <v>1249</v>
      </c>
      <c r="B193" s="1913" t="s">
        <v>1451</v>
      </c>
      <c r="C193" s="1925" t="s">
        <v>2237</v>
      </c>
      <c r="D193" s="1919" t="s">
        <v>2239</v>
      </c>
      <c r="E193" s="1913" t="s">
        <v>1252</v>
      </c>
      <c r="G193" s="1914">
        <v>78402</v>
      </c>
    </row>
    <row r="194" spans="1:8" outlineLevel="1">
      <c r="A194" s="1926">
        <v>45167</v>
      </c>
      <c r="B194" s="1927" t="s">
        <v>2240</v>
      </c>
      <c r="C194" s="1928"/>
      <c r="D194" s="1928" t="s">
        <v>2241</v>
      </c>
      <c r="E194" s="1927"/>
      <c r="G194" s="1929">
        <v>90529</v>
      </c>
    </row>
    <row r="195" spans="1:8" outlineLevel="1">
      <c r="A195" s="1913" t="s">
        <v>1243</v>
      </c>
      <c r="B195" s="1913" t="s">
        <v>2242</v>
      </c>
      <c r="C195" s="1919" t="s">
        <v>2243</v>
      </c>
      <c r="D195" s="1919" t="s">
        <v>2244</v>
      </c>
      <c r="E195" s="1913" t="s">
        <v>1346</v>
      </c>
      <c r="F195" s="1914">
        <v>4545444</v>
      </c>
      <c r="G195" s="1914">
        <v>37012</v>
      </c>
      <c r="H195" s="1914">
        <f>+F186-F195</f>
        <v>909091</v>
      </c>
    </row>
    <row r="196" spans="1:8" outlineLevel="1">
      <c r="A196" s="1913" t="s">
        <v>1246</v>
      </c>
      <c r="B196" s="1913" t="s">
        <v>2245</v>
      </c>
      <c r="C196" s="1919" t="s">
        <v>2246</v>
      </c>
      <c r="D196" s="1919" t="s">
        <v>2247</v>
      </c>
      <c r="E196" s="1913" t="s">
        <v>1349</v>
      </c>
      <c r="F196" s="1914">
        <v>69526032</v>
      </c>
      <c r="G196" s="1914">
        <v>54213</v>
      </c>
      <c r="H196" s="1914">
        <f>+F187-F196</f>
        <v>426541</v>
      </c>
    </row>
    <row r="197" spans="1:8" outlineLevel="1">
      <c r="A197" s="1913" t="s">
        <v>1372</v>
      </c>
      <c r="B197" s="1913" t="s">
        <v>2248</v>
      </c>
      <c r="C197" s="1919" t="s">
        <v>2139</v>
      </c>
      <c r="D197" s="1919" t="s">
        <v>804</v>
      </c>
      <c r="E197" s="1913" t="s">
        <v>1242</v>
      </c>
      <c r="F197" s="1914">
        <v>24905640</v>
      </c>
      <c r="G197" s="1914">
        <v>0</v>
      </c>
      <c r="H197" s="1914">
        <f>+F188-F197</f>
        <v>0</v>
      </c>
    </row>
    <row r="198" spans="1:8" outlineLevel="1">
      <c r="A198" s="1913" t="s">
        <v>2249</v>
      </c>
      <c r="B198" s="1913" t="s">
        <v>2250</v>
      </c>
      <c r="C198" s="1930" t="s">
        <v>2408</v>
      </c>
      <c r="D198" s="1919" t="s">
        <v>2251</v>
      </c>
      <c r="E198" s="1913" t="s">
        <v>2409</v>
      </c>
      <c r="F198" s="1914">
        <v>100000000</v>
      </c>
      <c r="G198" s="1914">
        <v>7202</v>
      </c>
      <c r="H198" s="1914">
        <v>0</v>
      </c>
    </row>
    <row r="199" spans="1:8" outlineLevel="1">
      <c r="A199" s="1913" t="s">
        <v>2252</v>
      </c>
      <c r="B199" s="1913" t="s">
        <v>2410</v>
      </c>
      <c r="C199" s="1919" t="s">
        <v>2253</v>
      </c>
      <c r="D199" s="1919" t="s">
        <v>2254</v>
      </c>
      <c r="E199" s="1913" t="s">
        <v>2411</v>
      </c>
      <c r="F199" s="1914">
        <v>14769265</v>
      </c>
      <c r="G199" s="1914">
        <v>4027</v>
      </c>
      <c r="H199" s="1914">
        <f>+F189+F190-F199</f>
        <v>56805</v>
      </c>
    </row>
    <row r="200" spans="1:8" outlineLevel="1">
      <c r="A200" s="1920" t="s">
        <v>2255</v>
      </c>
      <c r="B200" s="1920"/>
      <c r="C200" s="1921" t="s">
        <v>2256</v>
      </c>
      <c r="D200" s="1921" t="s">
        <v>2257</v>
      </c>
      <c r="F200" s="1918">
        <f>SUM(F194:F199)</f>
        <v>213746381</v>
      </c>
      <c r="G200" s="1918">
        <f>SUM(G194:G199)</f>
        <v>192983</v>
      </c>
      <c r="H200" s="1918">
        <f t="shared" ref="H200" si="45">SUM(H194:H199)</f>
        <v>1392437</v>
      </c>
    </row>
    <row r="201" spans="1:8" outlineLevel="1">
      <c r="A201" s="1913" t="s">
        <v>1243</v>
      </c>
      <c r="B201" s="1913" t="s">
        <v>2242</v>
      </c>
      <c r="C201" s="1919" t="s">
        <v>2258</v>
      </c>
      <c r="D201" s="1919" t="s">
        <v>2259</v>
      </c>
      <c r="E201" s="1913" t="s">
        <v>1346</v>
      </c>
      <c r="F201" s="1914">
        <v>3636353</v>
      </c>
      <c r="G201" s="1914">
        <v>29886</v>
      </c>
      <c r="H201" s="1914">
        <f>+F195-F201</f>
        <v>909091</v>
      </c>
    </row>
    <row r="202" spans="1:8" outlineLevel="1">
      <c r="A202" s="1913" t="s">
        <v>1246</v>
      </c>
      <c r="B202" s="1913" t="s">
        <v>2245</v>
      </c>
      <c r="C202" s="1919" t="s">
        <v>2260</v>
      </c>
      <c r="D202" s="1919" t="s">
        <v>2261</v>
      </c>
      <c r="E202" s="1913" t="s">
        <v>1349</v>
      </c>
      <c r="F202" s="1914">
        <v>69099491</v>
      </c>
      <c r="G202" s="1914">
        <v>52144</v>
      </c>
      <c r="H202" s="1914">
        <f>+F196-F202</f>
        <v>426541</v>
      </c>
    </row>
    <row r="203" spans="1:8" outlineLevel="1">
      <c r="A203" s="1913" t="s">
        <v>1372</v>
      </c>
      <c r="B203" s="1913" t="s">
        <v>2248</v>
      </c>
      <c r="C203" s="1919" t="s">
        <v>2262</v>
      </c>
      <c r="D203" s="1919" t="s">
        <v>2263</v>
      </c>
      <c r="E203" s="1913" t="s">
        <v>1242</v>
      </c>
      <c r="F203" s="1914">
        <v>24339600</v>
      </c>
      <c r="G203" s="1914">
        <v>122764</v>
      </c>
      <c r="H203" s="1914">
        <f>+F197-F203</f>
        <v>566040</v>
      </c>
    </row>
    <row r="204" spans="1:8" outlineLevel="1">
      <c r="A204" s="1913" t="s">
        <v>2249</v>
      </c>
      <c r="B204" s="1913" t="s">
        <v>2250</v>
      </c>
      <c r="C204" s="1930" t="s">
        <v>2408</v>
      </c>
      <c r="D204" s="1919" t="s">
        <v>2264</v>
      </c>
      <c r="E204" s="1913" t="s">
        <v>2409</v>
      </c>
      <c r="F204" s="1914">
        <v>100000000</v>
      </c>
      <c r="G204" s="1914">
        <v>43927</v>
      </c>
      <c r="H204" s="1914">
        <f>+F198-F204</f>
        <v>0</v>
      </c>
    </row>
    <row r="205" spans="1:8" outlineLevel="1">
      <c r="A205" s="1913" t="s">
        <v>2252</v>
      </c>
      <c r="B205" s="1913" t="s">
        <v>2410</v>
      </c>
      <c r="C205" s="1919" t="s">
        <v>2265</v>
      </c>
      <c r="D205" s="1919" t="s">
        <v>2266</v>
      </c>
      <c r="E205" s="1913" t="s">
        <v>2411</v>
      </c>
      <c r="F205" s="1914">
        <v>14712460</v>
      </c>
      <c r="G205" s="1914">
        <v>60184</v>
      </c>
      <c r="H205" s="1914">
        <f>+F199-F205</f>
        <v>56805</v>
      </c>
    </row>
    <row r="206" spans="1:8" outlineLevel="1">
      <c r="A206" s="1920" t="s">
        <v>2267</v>
      </c>
      <c r="B206" s="1920"/>
      <c r="C206" s="1921" t="s">
        <v>2268</v>
      </c>
      <c r="D206" s="1921" t="s">
        <v>2269</v>
      </c>
      <c r="F206" s="1918">
        <f>SUM(F201:F205)</f>
        <v>211787904</v>
      </c>
      <c r="G206" s="1918">
        <f t="shared" ref="G206:H206" si="46">SUM(G201:G205)</f>
        <v>308905</v>
      </c>
      <c r="H206" s="1918">
        <f t="shared" si="46"/>
        <v>1958477</v>
      </c>
    </row>
    <row r="207" spans="1:8" outlineLevel="1">
      <c r="A207" s="1913" t="s">
        <v>1243</v>
      </c>
      <c r="B207" s="1913" t="s">
        <v>2242</v>
      </c>
      <c r="C207" s="1919" t="s">
        <v>2322</v>
      </c>
      <c r="D207" s="1919" t="s">
        <v>2323</v>
      </c>
      <c r="E207" s="1913" t="s">
        <v>1346</v>
      </c>
      <c r="F207" s="1914">
        <f>+F201-H201</f>
        <v>2727262</v>
      </c>
      <c r="G207" s="1914">
        <v>24674</v>
      </c>
      <c r="H207" s="1914">
        <f>+F201-F207</f>
        <v>909091</v>
      </c>
    </row>
    <row r="208" spans="1:8" outlineLevel="1">
      <c r="A208" s="1913" t="s">
        <v>1246</v>
      </c>
      <c r="B208" s="1913" t="s">
        <v>2245</v>
      </c>
      <c r="C208" s="1919" t="s">
        <v>2324</v>
      </c>
      <c r="D208" s="1919" t="s">
        <v>2325</v>
      </c>
      <c r="E208" s="1913" t="s">
        <v>1349</v>
      </c>
      <c r="F208" s="1914">
        <f>+F202-H202</f>
        <v>68672950</v>
      </c>
      <c r="G208" s="1914">
        <v>53552</v>
      </c>
      <c r="H208" s="1914">
        <f t="shared" ref="H208:H211" si="47">+F202-F208</f>
        <v>426541</v>
      </c>
    </row>
    <row r="209" spans="1:12" outlineLevel="1">
      <c r="A209" s="1913" t="s">
        <v>1372</v>
      </c>
      <c r="B209" s="1913" t="s">
        <v>2248</v>
      </c>
      <c r="C209" s="1919" t="s">
        <v>2262</v>
      </c>
      <c r="D209" s="1919" t="s">
        <v>804</v>
      </c>
      <c r="E209" s="1913" t="s">
        <v>1242</v>
      </c>
      <c r="F209" s="1914">
        <v>24339600</v>
      </c>
      <c r="G209" s="1914">
        <v>0</v>
      </c>
      <c r="H209" s="1914">
        <f t="shared" si="47"/>
        <v>0</v>
      </c>
    </row>
    <row r="210" spans="1:12" outlineLevel="1">
      <c r="A210" s="1913" t="s">
        <v>2249</v>
      </c>
      <c r="B210" s="1913" t="s">
        <v>2250</v>
      </c>
      <c r="C210" s="1930" t="s">
        <v>2408</v>
      </c>
      <c r="D210" s="1919" t="s">
        <v>2326</v>
      </c>
      <c r="E210" s="1913" t="s">
        <v>2409</v>
      </c>
      <c r="F210" s="1914">
        <f>+F204</f>
        <v>100000000</v>
      </c>
      <c r="G210" s="1914">
        <v>80810</v>
      </c>
      <c r="H210" s="1914">
        <f t="shared" si="47"/>
        <v>0</v>
      </c>
    </row>
    <row r="211" spans="1:12" outlineLevel="1">
      <c r="A211" s="1913" t="s">
        <v>2252</v>
      </c>
      <c r="B211" s="1913" t="s">
        <v>2410</v>
      </c>
      <c r="C211" s="1919" t="s">
        <v>2327</v>
      </c>
      <c r="D211" s="1919" t="s">
        <v>2328</v>
      </c>
      <c r="E211" s="1913" t="s">
        <v>2411</v>
      </c>
      <c r="F211" s="1914">
        <f>+F205-H205</f>
        <v>14655655</v>
      </c>
      <c r="G211" s="1914">
        <v>61951</v>
      </c>
      <c r="H211" s="1914">
        <f t="shared" si="47"/>
        <v>56805</v>
      </c>
    </row>
    <row r="212" spans="1:12" outlineLevel="1">
      <c r="A212" s="1920" t="s">
        <v>2412</v>
      </c>
      <c r="B212" s="1920"/>
      <c r="C212" s="1921" t="s">
        <v>2413</v>
      </c>
      <c r="D212" s="1921" t="s">
        <v>2414</v>
      </c>
      <c r="F212" s="1918">
        <f>SUM(F207:F211)</f>
        <v>210395467</v>
      </c>
      <c r="G212" s="1918">
        <f t="shared" ref="G212:H212" si="48">SUM(G207:G211)</f>
        <v>220987</v>
      </c>
      <c r="H212" s="1918">
        <f t="shared" si="48"/>
        <v>1392437</v>
      </c>
    </row>
    <row r="213" spans="1:12" outlineLevel="1">
      <c r="A213" s="1913" t="s">
        <v>1243</v>
      </c>
      <c r="B213" s="1913" t="s">
        <v>2242</v>
      </c>
      <c r="C213" s="1919" t="s">
        <v>2415</v>
      </c>
      <c r="D213" s="1919" t="s">
        <v>2416</v>
      </c>
      <c r="E213" s="1913" t="s">
        <v>1346</v>
      </c>
      <c r="F213" s="1931">
        <v>1818171</v>
      </c>
      <c r="G213" s="1931">
        <v>17818</v>
      </c>
      <c r="H213" s="1914">
        <f>+F207-F213</f>
        <v>909091</v>
      </c>
    </row>
    <row r="214" spans="1:12" outlineLevel="1">
      <c r="A214" s="1913" t="s">
        <v>1246</v>
      </c>
      <c r="B214" s="1913" t="s">
        <v>2245</v>
      </c>
      <c r="C214" s="1919" t="s">
        <v>2417</v>
      </c>
      <c r="D214" s="1919" t="s">
        <v>2418</v>
      </c>
      <c r="E214" s="1913" t="s">
        <v>1349</v>
      </c>
      <c r="F214" s="1931">
        <v>68246409</v>
      </c>
      <c r="G214" s="1931">
        <v>51504</v>
      </c>
      <c r="H214" s="1914">
        <f>+F208-F214</f>
        <v>426541</v>
      </c>
    </row>
    <row r="215" spans="1:12" outlineLevel="1">
      <c r="A215" s="1913" t="s">
        <v>1372</v>
      </c>
      <c r="B215" s="1913" t="s">
        <v>2248</v>
      </c>
      <c r="C215" s="1919" t="s">
        <v>2262</v>
      </c>
      <c r="D215" s="1919" t="s">
        <v>804</v>
      </c>
      <c r="E215" s="1913" t="s">
        <v>1242</v>
      </c>
      <c r="F215" s="1931">
        <v>24339600</v>
      </c>
      <c r="G215" s="1931">
        <v>0</v>
      </c>
      <c r="H215" s="1914">
        <f>+F209-F215</f>
        <v>0</v>
      </c>
    </row>
    <row r="216" spans="1:12" outlineLevel="1">
      <c r="A216" s="1913" t="s">
        <v>2249</v>
      </c>
      <c r="B216" s="1913" t="s">
        <v>2250</v>
      </c>
      <c r="C216" s="1932" t="s">
        <v>2419</v>
      </c>
      <c r="D216" s="1919" t="s">
        <v>2420</v>
      </c>
      <c r="E216" s="1913" t="s">
        <v>2409</v>
      </c>
      <c r="F216" s="1931">
        <v>100000000</v>
      </c>
      <c r="G216" s="1931">
        <v>133480</v>
      </c>
      <c r="H216" s="1914">
        <f>+F210-F216</f>
        <v>0</v>
      </c>
    </row>
    <row r="217" spans="1:12" outlineLevel="1">
      <c r="A217" s="1913" t="s">
        <v>2252</v>
      </c>
      <c r="B217" s="1913" t="s">
        <v>2410</v>
      </c>
      <c r="C217" s="1919" t="s">
        <v>2421</v>
      </c>
      <c r="D217" s="1919" t="s">
        <v>2422</v>
      </c>
      <c r="E217" s="1913" t="s">
        <v>2411</v>
      </c>
      <c r="F217" s="1931">
        <v>14598851</v>
      </c>
      <c r="G217" s="1931">
        <v>59721</v>
      </c>
      <c r="H217" s="1914">
        <f>+F211-F217</f>
        <v>56804</v>
      </c>
    </row>
    <row r="218" spans="1:12" outlineLevel="1">
      <c r="A218" s="1920" t="s">
        <v>2423</v>
      </c>
      <c r="B218" s="1920"/>
      <c r="C218" s="1921" t="s">
        <v>2424</v>
      </c>
      <c r="D218" s="1921" t="s">
        <v>2425</v>
      </c>
      <c r="F218" s="1933">
        <f>SUM(F213:F217)</f>
        <v>209003031</v>
      </c>
      <c r="G218" s="1933">
        <f t="shared" ref="G218:H218" si="49">SUM(G213:G217)</f>
        <v>262523</v>
      </c>
      <c r="H218" s="1918">
        <f t="shared" si="49"/>
        <v>1392436</v>
      </c>
    </row>
    <row r="219" spans="1:12">
      <c r="A219" s="1913" t="s">
        <v>1243</v>
      </c>
      <c r="B219" s="1913" t="s">
        <v>2242</v>
      </c>
      <c r="C219" s="1919" t="s">
        <v>2415</v>
      </c>
      <c r="D219" s="1919" t="s">
        <v>804</v>
      </c>
      <c r="E219" s="1913" t="s">
        <v>1346</v>
      </c>
      <c r="F219" s="1931">
        <v>1818171</v>
      </c>
      <c r="G219" s="1931">
        <v>0</v>
      </c>
      <c r="H219" s="1914">
        <f>+F213-F219</f>
        <v>0</v>
      </c>
      <c r="J219" s="1914">
        <f>+F219</f>
        <v>1818171</v>
      </c>
      <c r="K219" s="1914">
        <f t="shared" ref="K219:L221" si="50">+G150+G156+G162+G168+G174+G180+G186+G195+G201+G207+G213+G219</f>
        <v>531882</v>
      </c>
      <c r="L219" s="1914">
        <f t="shared" si="50"/>
        <v>10000001</v>
      </c>
    </row>
    <row r="220" spans="1:12">
      <c r="A220" s="1913" t="s">
        <v>1246</v>
      </c>
      <c r="B220" s="1913" t="s">
        <v>2245</v>
      </c>
      <c r="C220" s="1919" t="s">
        <v>2426</v>
      </c>
      <c r="D220" s="1919" t="s">
        <v>2427</v>
      </c>
      <c r="E220" s="1913" t="s">
        <v>1349</v>
      </c>
      <c r="F220" s="1931">
        <v>67819868</v>
      </c>
      <c r="G220" s="1931">
        <v>52890</v>
      </c>
      <c r="H220" s="1914">
        <f t="shared" ref="H220:H223" si="51">+F214-F220</f>
        <v>426541</v>
      </c>
      <c r="J220" s="1914">
        <f t="shared" ref="J220:J223" si="52">+F220</f>
        <v>67819868</v>
      </c>
      <c r="K220" s="1914">
        <f t="shared" si="50"/>
        <v>644049</v>
      </c>
      <c r="L220" s="1914">
        <f t="shared" si="50"/>
        <v>5118492</v>
      </c>
    </row>
    <row r="221" spans="1:12">
      <c r="A221" s="1913" t="s">
        <v>1372</v>
      </c>
      <c r="B221" s="1913" t="s">
        <v>2248</v>
      </c>
      <c r="C221" s="1919" t="s">
        <v>2428</v>
      </c>
      <c r="D221" s="1919" t="s">
        <v>2429</v>
      </c>
      <c r="E221" s="1913" t="s">
        <v>1242</v>
      </c>
      <c r="F221" s="1931">
        <v>23773560</v>
      </c>
      <c r="G221" s="1931">
        <v>122610</v>
      </c>
      <c r="H221" s="1914">
        <f t="shared" si="51"/>
        <v>566040</v>
      </c>
      <c r="J221" s="1914">
        <f t="shared" si="52"/>
        <v>23773560</v>
      </c>
      <c r="K221" s="1914">
        <f t="shared" si="50"/>
        <v>497861</v>
      </c>
      <c r="L221" s="1914">
        <f t="shared" si="50"/>
        <v>2264160</v>
      </c>
    </row>
    <row r="222" spans="1:12">
      <c r="A222" s="1913" t="s">
        <v>2249</v>
      </c>
      <c r="B222" s="1913" t="s">
        <v>2250</v>
      </c>
      <c r="C222" s="1932" t="s">
        <v>2419</v>
      </c>
      <c r="D222" s="1919" t="s">
        <v>2430</v>
      </c>
      <c r="E222" s="1913" t="s">
        <v>2409</v>
      </c>
      <c r="F222" s="1931">
        <v>47385571</v>
      </c>
      <c r="G222" s="1931">
        <v>124222</v>
      </c>
      <c r="H222" s="1914">
        <f t="shared" si="51"/>
        <v>52614429</v>
      </c>
      <c r="J222" s="1914">
        <f t="shared" si="52"/>
        <v>47385571</v>
      </c>
      <c r="K222" s="1914">
        <f>+G198+G204+G210+G216+G222</f>
        <v>389641</v>
      </c>
      <c r="L222" s="1914">
        <f>+H198+H204+H210+H216+H222</f>
        <v>52614429</v>
      </c>
    </row>
    <row r="223" spans="1:12">
      <c r="A223" s="1913" t="s">
        <v>2252</v>
      </c>
      <c r="B223" s="1913" t="s">
        <v>2410</v>
      </c>
      <c r="C223" s="1919" t="s">
        <v>2431</v>
      </c>
      <c r="D223" s="1919" t="s">
        <v>2432</v>
      </c>
      <c r="E223" s="1913" t="s">
        <v>2411</v>
      </c>
      <c r="F223" s="1931">
        <v>14542045</v>
      </c>
      <c r="G223" s="1931">
        <v>61473</v>
      </c>
      <c r="H223" s="1914">
        <f t="shared" si="51"/>
        <v>56806</v>
      </c>
      <c r="J223" s="1914">
        <f t="shared" si="52"/>
        <v>14542045</v>
      </c>
      <c r="K223" s="1914">
        <f>+G154+G160+G166+G172+G178+G184+G190+G199+G205+G211+G217+G223+G194+G189+G183+G177+G171+G165+G159+G153</f>
        <v>1015095</v>
      </c>
      <c r="L223" s="1914">
        <f>+H154+H160+H166+H172+H178+H184+H190+H199+H205+H211+H217+H223+H194+H189+H183+H177+H171+H165+H159+H153</f>
        <v>801255</v>
      </c>
    </row>
    <row r="224" spans="1:12">
      <c r="A224" s="1920" t="s">
        <v>2433</v>
      </c>
      <c r="B224" s="1920"/>
      <c r="C224" s="1921" t="s">
        <v>2434</v>
      </c>
      <c r="D224" s="1921" t="s">
        <v>2435</v>
      </c>
      <c r="F224" s="1933">
        <f>SUM(F219:F223)</f>
        <v>155339215</v>
      </c>
      <c r="G224" s="1933">
        <f t="shared" ref="G224:H224" si="53">SUM(G219:G223)</f>
        <v>361195</v>
      </c>
      <c r="H224" s="1918">
        <f t="shared" si="53"/>
        <v>53663816</v>
      </c>
      <c r="J224" s="1918">
        <f>SUM(J219:J223)</f>
        <v>155339215</v>
      </c>
      <c r="K224" s="1918">
        <f t="shared" ref="K224:L224" si="54">SUM(K219:K223)</f>
        <v>3078528</v>
      </c>
      <c r="L224" s="1918">
        <f t="shared" si="54"/>
        <v>70798337</v>
      </c>
    </row>
    <row r="225" spans="1:10" outlineLevel="1">
      <c r="A225" s="1924" t="s">
        <v>1243</v>
      </c>
      <c r="B225" s="1924" t="s">
        <v>2242</v>
      </c>
      <c r="C225" s="1934" t="s">
        <v>804</v>
      </c>
      <c r="D225" s="1935" t="s">
        <v>2436</v>
      </c>
      <c r="E225" s="1913" t="s">
        <v>1346</v>
      </c>
      <c r="F225" s="1914">
        <v>0</v>
      </c>
      <c r="G225" s="1914">
        <v>18255</v>
      </c>
      <c r="H225" s="1914">
        <f>+F219-F225</f>
        <v>1818171</v>
      </c>
    </row>
    <row r="226" spans="1:10" outlineLevel="1">
      <c r="A226" s="1913" t="s">
        <v>1246</v>
      </c>
      <c r="B226" s="1913" t="s">
        <v>2245</v>
      </c>
      <c r="C226" s="1936" t="s">
        <v>2437</v>
      </c>
      <c r="D226" s="1936" t="s">
        <v>2438</v>
      </c>
      <c r="E226" s="1913" t="s">
        <v>1349</v>
      </c>
      <c r="F226" s="1914">
        <v>67393327</v>
      </c>
      <c r="G226" s="1914">
        <v>52560</v>
      </c>
      <c r="H226" s="1914">
        <f t="shared" ref="H226:H229" si="55">+F220-F226</f>
        <v>426541</v>
      </c>
    </row>
    <row r="227" spans="1:10" outlineLevel="1">
      <c r="A227" s="1913" t="s">
        <v>1372</v>
      </c>
      <c r="B227" s="1913" t="s">
        <v>2248</v>
      </c>
      <c r="C227" s="1936" t="s">
        <v>2428</v>
      </c>
      <c r="D227" s="1936" t="s">
        <v>804</v>
      </c>
      <c r="E227" s="1913" t="s">
        <v>1242</v>
      </c>
      <c r="F227" s="1914">
        <v>23773560</v>
      </c>
      <c r="G227" s="1914">
        <v>0</v>
      </c>
      <c r="H227" s="1914">
        <f t="shared" si="55"/>
        <v>0</v>
      </c>
    </row>
    <row r="228" spans="1:10" outlineLevel="1">
      <c r="A228" s="1913" t="s">
        <v>2249</v>
      </c>
      <c r="B228" s="1913" t="s">
        <v>2250</v>
      </c>
      <c r="C228" s="1937" t="s">
        <v>2439</v>
      </c>
      <c r="D228" s="1936" t="s">
        <v>2440</v>
      </c>
      <c r="E228" s="1913" t="s">
        <v>2409</v>
      </c>
      <c r="F228" s="1914">
        <v>47385571</v>
      </c>
      <c r="G228" s="1914">
        <v>7581</v>
      </c>
      <c r="H228" s="1914">
        <f t="shared" si="55"/>
        <v>0</v>
      </c>
    </row>
    <row r="229" spans="1:10" outlineLevel="1">
      <c r="A229" s="1913" t="s">
        <v>2252</v>
      </c>
      <c r="B229" s="1913" t="s">
        <v>2410</v>
      </c>
      <c r="C229" s="1936" t="s">
        <v>2441</v>
      </c>
      <c r="D229" s="1936" t="s">
        <v>2442</v>
      </c>
      <c r="E229" s="1913" t="s">
        <v>2411</v>
      </c>
      <c r="F229" s="1914">
        <v>14485240</v>
      </c>
      <c r="G229" s="1914">
        <v>61234</v>
      </c>
      <c r="H229" s="1914">
        <f t="shared" si="55"/>
        <v>56805</v>
      </c>
      <c r="J229" s="1913">
        <f>+H229*12</f>
        <v>681660</v>
      </c>
    </row>
    <row r="230" spans="1:10" outlineLevel="1">
      <c r="A230" s="1920" t="s">
        <v>2443</v>
      </c>
      <c r="B230" s="1920"/>
      <c r="C230" s="1938" t="s">
        <v>2444</v>
      </c>
      <c r="D230" s="1938" t="s">
        <v>2445</v>
      </c>
      <c r="F230" s="1918">
        <f>SUM(F225:F229)</f>
        <v>153037698</v>
      </c>
      <c r="G230" s="1918">
        <f t="shared" ref="G230" si="56">SUM(G225:G229)</f>
        <v>139630</v>
      </c>
      <c r="H230" s="1918">
        <f>SUM(H225:H229)</f>
        <v>2301517</v>
      </c>
    </row>
    <row r="231" spans="1:10" outlineLevel="1">
      <c r="A231" s="1913" t="s">
        <v>1246</v>
      </c>
      <c r="B231" s="1913" t="s">
        <v>2245</v>
      </c>
      <c r="C231" s="1936" t="s">
        <v>2446</v>
      </c>
      <c r="D231" s="1936" t="s">
        <v>2447</v>
      </c>
      <c r="E231" s="1913" t="s">
        <v>1349</v>
      </c>
      <c r="F231" s="1914">
        <v>66966786</v>
      </c>
      <c r="G231" s="1914">
        <v>48860</v>
      </c>
      <c r="H231" s="1914">
        <f>+F226-F231</f>
        <v>426541</v>
      </c>
    </row>
    <row r="232" spans="1:10" outlineLevel="1">
      <c r="A232" s="1913" t="s">
        <v>1372</v>
      </c>
      <c r="B232" s="1913" t="s">
        <v>2248</v>
      </c>
      <c r="C232" s="1936" t="s">
        <v>2428</v>
      </c>
      <c r="D232" s="1936" t="s">
        <v>804</v>
      </c>
      <c r="E232" s="1913" t="s">
        <v>1242</v>
      </c>
      <c r="F232" s="1914">
        <v>23773560</v>
      </c>
      <c r="G232" s="1914">
        <v>0</v>
      </c>
      <c r="H232" s="1914">
        <f t="shared" ref="H232:H234" si="57">+F227-F232</f>
        <v>0</v>
      </c>
    </row>
    <row r="233" spans="1:10" outlineLevel="1">
      <c r="A233" s="1913" t="s">
        <v>2249</v>
      </c>
      <c r="B233" s="1913" t="s">
        <v>2250</v>
      </c>
      <c r="C233" s="1936" t="s">
        <v>2439</v>
      </c>
      <c r="D233" s="1936" t="s">
        <v>2448</v>
      </c>
      <c r="E233" s="1913" t="s">
        <v>2409</v>
      </c>
      <c r="F233" s="1914">
        <v>47385571</v>
      </c>
      <c r="G233" s="1914">
        <v>13037</v>
      </c>
      <c r="H233" s="1914">
        <f t="shared" si="57"/>
        <v>0</v>
      </c>
    </row>
    <row r="234" spans="1:10" outlineLevel="1">
      <c r="A234" s="1913" t="s">
        <v>2252</v>
      </c>
      <c r="B234" s="1913" t="s">
        <v>2410</v>
      </c>
      <c r="C234" s="1936" t="s">
        <v>2449</v>
      </c>
      <c r="D234" s="1936" t="s">
        <v>2450</v>
      </c>
      <c r="E234" s="1913" t="s">
        <v>2411</v>
      </c>
      <c r="F234" s="1914">
        <v>14428435</v>
      </c>
      <c r="G234" s="1914">
        <v>57059</v>
      </c>
      <c r="H234" s="1914">
        <f t="shared" si="57"/>
        <v>56805</v>
      </c>
    </row>
    <row r="235" spans="1:10" outlineLevel="1">
      <c r="A235" s="1920" t="s">
        <v>2451</v>
      </c>
      <c r="B235" s="1920"/>
      <c r="C235" s="1938" t="s">
        <v>2452</v>
      </c>
      <c r="D235" s="1938" t="s">
        <v>2453</v>
      </c>
      <c r="F235" s="1918">
        <f>SUM(F231:F234)</f>
        <v>152554352</v>
      </c>
      <c r="G235" s="1918">
        <f t="shared" ref="G235:H235" si="58">SUM(G231:G234)</f>
        <v>118956</v>
      </c>
      <c r="H235" s="1918">
        <f t="shared" si="58"/>
        <v>483346</v>
      </c>
    </row>
    <row r="236" spans="1:10" outlineLevel="1">
      <c r="A236" s="1913" t="s">
        <v>1246</v>
      </c>
      <c r="B236" s="1913" t="s">
        <v>2245</v>
      </c>
      <c r="C236" s="1936" t="s">
        <v>2454</v>
      </c>
      <c r="D236" s="1936" t="s">
        <v>2455</v>
      </c>
      <c r="E236" s="1913" t="s">
        <v>1349</v>
      </c>
      <c r="F236" s="1914">
        <v>66540245</v>
      </c>
      <c r="G236" s="1914">
        <v>51899</v>
      </c>
      <c r="H236" s="1914">
        <f>+F231-F236</f>
        <v>426541</v>
      </c>
    </row>
    <row r="237" spans="1:10" outlineLevel="1">
      <c r="A237" s="1913" t="s">
        <v>1372</v>
      </c>
      <c r="B237" s="1913" t="s">
        <v>2248</v>
      </c>
      <c r="C237" s="1936" t="s">
        <v>2456</v>
      </c>
      <c r="D237" s="1936" t="s">
        <v>2457</v>
      </c>
      <c r="E237" s="1913" t="s">
        <v>1242</v>
      </c>
      <c r="F237" s="1914">
        <v>23207520</v>
      </c>
      <c r="G237" s="1914">
        <v>114608</v>
      </c>
      <c r="H237" s="1914">
        <f>+F232-F237</f>
        <v>566040</v>
      </c>
      <c r="J237" s="1913">
        <f>+H237*4</f>
        <v>2264160</v>
      </c>
    </row>
    <row r="238" spans="1:10" outlineLevel="1">
      <c r="A238" s="1913" t="s">
        <v>2249</v>
      </c>
      <c r="B238" s="1913" t="s">
        <v>2250</v>
      </c>
      <c r="C238" s="1936" t="s">
        <v>2458</v>
      </c>
      <c r="D238" s="1936" t="s">
        <v>2459</v>
      </c>
      <c r="E238" s="1913" t="s">
        <v>2460</v>
      </c>
      <c r="F238" s="1914">
        <v>52487461</v>
      </c>
      <c r="G238" s="1914">
        <v>18943</v>
      </c>
      <c r="H238" s="1914">
        <v>0</v>
      </c>
    </row>
    <row r="239" spans="1:10" outlineLevel="1">
      <c r="A239" s="1913" t="s">
        <v>2252</v>
      </c>
      <c r="B239" s="1913" t="s">
        <v>2410</v>
      </c>
      <c r="C239" s="1936" t="s">
        <v>2461</v>
      </c>
      <c r="D239" s="1936" t="s">
        <v>2462</v>
      </c>
      <c r="E239" s="1913" t="s">
        <v>2463</v>
      </c>
      <c r="F239" s="1914">
        <v>14371631</v>
      </c>
      <c r="G239" s="1914">
        <v>60755</v>
      </c>
      <c r="H239" s="1914">
        <f t="shared" ref="H239" si="59">+F234-F239</f>
        <v>56804</v>
      </c>
    </row>
    <row r="240" spans="1:10" outlineLevel="1">
      <c r="A240" s="1920" t="s">
        <v>2464</v>
      </c>
      <c r="B240" s="1920"/>
      <c r="C240" s="1938" t="s">
        <v>2465</v>
      </c>
      <c r="D240" s="1938" t="s">
        <v>2466</v>
      </c>
      <c r="F240" s="1918">
        <f>SUM(F236:F239)</f>
        <v>156606857</v>
      </c>
      <c r="G240" s="1918">
        <f t="shared" ref="G240:H240" si="60">SUM(G236:G239)</f>
        <v>246205</v>
      </c>
      <c r="H240" s="1918">
        <f t="shared" si="60"/>
        <v>1049385</v>
      </c>
    </row>
    <row r="241" spans="1:11" outlineLevel="1">
      <c r="A241" s="1913" t="s">
        <v>1246</v>
      </c>
      <c r="B241" s="1913" t="s">
        <v>2245</v>
      </c>
      <c r="C241" s="1936" t="s">
        <v>2467</v>
      </c>
      <c r="D241" s="1936" t="s">
        <v>2468</v>
      </c>
      <c r="E241" s="1913" t="s">
        <v>1349</v>
      </c>
      <c r="F241" s="1914">
        <v>66113704</v>
      </c>
      <c r="G241" s="1914">
        <v>49905</v>
      </c>
      <c r="H241" s="1914">
        <f>+F236-F241</f>
        <v>426541</v>
      </c>
    </row>
    <row r="242" spans="1:11" outlineLevel="1">
      <c r="A242" s="1913" t="s">
        <v>1372</v>
      </c>
      <c r="B242" s="1913" t="s">
        <v>2248</v>
      </c>
      <c r="C242" s="1936" t="s">
        <v>2456</v>
      </c>
      <c r="D242" s="1936" t="s">
        <v>804</v>
      </c>
      <c r="E242" s="1913" t="s">
        <v>1242</v>
      </c>
      <c r="F242" s="1914">
        <v>23207520</v>
      </c>
      <c r="G242" s="1914">
        <v>0</v>
      </c>
      <c r="H242" s="1914">
        <f>+F237-F242</f>
        <v>0</v>
      </c>
    </row>
    <row r="243" spans="1:11" outlineLevel="1">
      <c r="A243" s="1913" t="s">
        <v>2249</v>
      </c>
      <c r="B243" s="1913" t="s">
        <v>2250</v>
      </c>
      <c r="C243" s="1936" t="s">
        <v>2469</v>
      </c>
      <c r="D243" s="1936" t="s">
        <v>2470</v>
      </c>
      <c r="E243" s="1913" t="s">
        <v>2409</v>
      </c>
      <c r="F243" s="1914">
        <v>64146313</v>
      </c>
      <c r="G243" s="1914">
        <v>43989</v>
      </c>
      <c r="H243" s="1914">
        <v>0</v>
      </c>
    </row>
    <row r="244" spans="1:11" outlineLevel="1">
      <c r="A244" s="1913" t="s">
        <v>2252</v>
      </c>
      <c r="B244" s="1913" t="s">
        <v>2410</v>
      </c>
      <c r="C244" s="1936" t="s">
        <v>2471</v>
      </c>
      <c r="D244" s="1936" t="s">
        <v>2472</v>
      </c>
      <c r="E244" s="1913" t="s">
        <v>2411</v>
      </c>
      <c r="F244" s="1914">
        <v>14314826</v>
      </c>
      <c r="G244" s="1914">
        <v>58564</v>
      </c>
      <c r="H244" s="1914">
        <f t="shared" ref="H244" si="61">+F239-F244</f>
        <v>56805</v>
      </c>
    </row>
    <row r="245" spans="1:11" outlineLevel="1">
      <c r="A245" s="1920" t="s">
        <v>2473</v>
      </c>
      <c r="B245" s="1920"/>
      <c r="C245" s="1938" t="s">
        <v>2474</v>
      </c>
      <c r="D245" s="1938" t="s">
        <v>2475</v>
      </c>
      <c r="F245" s="1918">
        <f>SUM(F241:F244)</f>
        <v>167782363</v>
      </c>
      <c r="G245" s="1918">
        <f t="shared" ref="G245:H245" si="62">SUM(G241:G244)</f>
        <v>152458</v>
      </c>
      <c r="H245" s="1918">
        <f t="shared" si="62"/>
        <v>483346</v>
      </c>
    </row>
    <row r="246" spans="1:11" outlineLevel="1">
      <c r="A246" s="1913" t="s">
        <v>1246</v>
      </c>
      <c r="B246" s="1913" t="s">
        <v>2245</v>
      </c>
      <c r="C246" s="1936" t="s">
        <v>2476</v>
      </c>
      <c r="D246" s="1936" t="s">
        <v>2477</v>
      </c>
      <c r="E246" s="1913" t="s">
        <v>1349</v>
      </c>
      <c r="F246" s="1914">
        <v>65687163</v>
      </c>
      <c r="G246" s="1914">
        <v>51238</v>
      </c>
      <c r="H246" s="1914">
        <f>+F241-F246</f>
        <v>426541</v>
      </c>
    </row>
    <row r="247" spans="1:11" outlineLevel="1">
      <c r="A247" s="1913" t="s">
        <v>1372</v>
      </c>
      <c r="B247" s="1913" t="s">
        <v>2248</v>
      </c>
      <c r="C247" s="1936" t="s">
        <v>2456</v>
      </c>
      <c r="D247" s="1936" t="s">
        <v>804</v>
      </c>
      <c r="E247" s="1913" t="s">
        <v>1242</v>
      </c>
      <c r="F247" s="1914">
        <v>23207520</v>
      </c>
      <c r="G247" s="1914">
        <v>0</v>
      </c>
      <c r="H247" s="1914">
        <f>+F242-F247</f>
        <v>0</v>
      </c>
    </row>
    <row r="248" spans="1:11" outlineLevel="1">
      <c r="A248" s="1913" t="s">
        <v>2249</v>
      </c>
      <c r="B248" s="1913" t="s">
        <v>2250</v>
      </c>
      <c r="C248" s="1936" t="s">
        <v>2478</v>
      </c>
      <c r="D248" s="1936" t="s">
        <v>2479</v>
      </c>
      <c r="E248" s="1913" t="s">
        <v>2409</v>
      </c>
      <c r="F248" s="1914">
        <v>72997128</v>
      </c>
      <c r="G248" s="1914">
        <v>65266</v>
      </c>
      <c r="H248" s="1914">
        <v>0</v>
      </c>
    </row>
    <row r="249" spans="1:11" outlineLevel="1">
      <c r="A249" s="1913" t="s">
        <v>2252</v>
      </c>
      <c r="B249" s="1913" t="s">
        <v>2410</v>
      </c>
      <c r="C249" s="1936" t="s">
        <v>2480</v>
      </c>
      <c r="D249" s="1936" t="s">
        <v>2481</v>
      </c>
      <c r="E249" s="1913" t="s">
        <v>2411</v>
      </c>
      <c r="F249" s="1914">
        <v>14258021</v>
      </c>
      <c r="G249" s="1914">
        <v>60277</v>
      </c>
      <c r="H249" s="1914">
        <f t="shared" ref="H249" si="63">+F244-F249</f>
        <v>56805</v>
      </c>
    </row>
    <row r="250" spans="1:11" outlineLevel="1">
      <c r="A250" s="1920" t="s">
        <v>2482</v>
      </c>
      <c r="B250" s="1920"/>
      <c r="C250" s="1938" t="s">
        <v>2483</v>
      </c>
      <c r="D250" s="1938" t="s">
        <v>2484</v>
      </c>
      <c r="F250" s="1918">
        <f>SUM(F246:F249)</f>
        <v>176149832</v>
      </c>
      <c r="G250" s="1918">
        <f t="shared" ref="G250:H250" si="64">SUM(G246:G249)</f>
        <v>176781</v>
      </c>
      <c r="H250" s="1918">
        <f t="shared" si="64"/>
        <v>483346</v>
      </c>
    </row>
    <row r="251" spans="1:11" outlineLevel="1">
      <c r="A251" s="1913" t="s">
        <v>1246</v>
      </c>
      <c r="B251" s="1913" t="s">
        <v>2245</v>
      </c>
      <c r="C251" s="1936" t="s">
        <v>2485</v>
      </c>
      <c r="D251" s="1936" t="s">
        <v>2486</v>
      </c>
      <c r="E251" s="1913" t="s">
        <v>1349</v>
      </c>
      <c r="F251" s="1914">
        <v>65260622</v>
      </c>
      <c r="G251" s="1914">
        <v>49265</v>
      </c>
      <c r="H251" s="1914">
        <f>+F246-F251</f>
        <v>426541</v>
      </c>
    </row>
    <row r="252" spans="1:11" outlineLevel="1">
      <c r="A252" s="1913" t="s">
        <v>1372</v>
      </c>
      <c r="B252" s="1913" t="s">
        <v>2248</v>
      </c>
      <c r="C252" s="1936" t="s">
        <v>2487</v>
      </c>
      <c r="D252" s="1936" t="s">
        <v>2488</v>
      </c>
      <c r="E252" s="1913" t="s">
        <v>1242</v>
      </c>
      <c r="F252" s="1914">
        <v>22641480</v>
      </c>
      <c r="G252" s="1914">
        <v>115650</v>
      </c>
      <c r="H252" s="1914">
        <f t="shared" ref="H252:H277" si="65">+F247-F252</f>
        <v>566040</v>
      </c>
    </row>
    <row r="253" spans="1:11" outlineLevel="1">
      <c r="A253" s="1913" t="s">
        <v>2249</v>
      </c>
      <c r="B253" s="1913" t="s">
        <v>2250</v>
      </c>
      <c r="C253" s="1936" t="s">
        <v>2489</v>
      </c>
      <c r="D253" s="1936" t="s">
        <v>2490</v>
      </c>
      <c r="E253" s="1913" t="s">
        <v>2409</v>
      </c>
      <c r="F253" s="1914">
        <v>72997813</v>
      </c>
      <c r="G253" s="1914">
        <v>33249</v>
      </c>
      <c r="H253" s="1914">
        <v>0</v>
      </c>
    </row>
    <row r="254" spans="1:11" outlineLevel="1">
      <c r="A254" s="1913" t="s">
        <v>2252</v>
      </c>
      <c r="B254" s="1913" t="s">
        <v>2410</v>
      </c>
      <c r="C254" s="1936" t="s">
        <v>2491</v>
      </c>
      <c r="D254" s="1936" t="s">
        <v>2492</v>
      </c>
      <c r="E254" s="1913" t="s">
        <v>2411</v>
      </c>
      <c r="F254" s="1914">
        <v>14201217</v>
      </c>
      <c r="G254" s="1914">
        <v>58101</v>
      </c>
      <c r="H254" s="1914">
        <f t="shared" si="65"/>
        <v>56804</v>
      </c>
    </row>
    <row r="255" spans="1:11" outlineLevel="1">
      <c r="A255" s="1920" t="s">
        <v>2493</v>
      </c>
      <c r="B255" s="1920"/>
      <c r="C255" s="1938" t="s">
        <v>2494</v>
      </c>
      <c r="D255" s="1938" t="s">
        <v>2495</v>
      </c>
      <c r="F255" s="1918">
        <f>SUM(F251:F254)</f>
        <v>175101132</v>
      </c>
      <c r="G255" s="1918">
        <f t="shared" ref="G255:H255" si="66">SUM(G251:G254)</f>
        <v>256265</v>
      </c>
      <c r="H255" s="1918">
        <f t="shared" si="66"/>
        <v>1049385</v>
      </c>
    </row>
    <row r="256" spans="1:11" outlineLevel="1">
      <c r="A256" s="1913" t="s">
        <v>1246</v>
      </c>
      <c r="B256" s="1913" t="s">
        <v>2245</v>
      </c>
      <c r="C256" s="1936" t="s">
        <v>2496</v>
      </c>
      <c r="D256" s="1936" t="s">
        <v>2497</v>
      </c>
      <c r="E256" s="1913" t="s">
        <v>1349</v>
      </c>
      <c r="F256" s="1914">
        <v>64834081</v>
      </c>
      <c r="G256" s="1914">
        <v>50576</v>
      </c>
      <c r="H256" s="1914">
        <f t="shared" si="65"/>
        <v>426541</v>
      </c>
      <c r="J256" s="1914"/>
      <c r="K256" s="1914"/>
    </row>
    <row r="257" spans="1:16" outlineLevel="1">
      <c r="A257" s="1913" t="s">
        <v>1372</v>
      </c>
      <c r="B257" s="1913" t="s">
        <v>2248</v>
      </c>
      <c r="C257" s="1936" t="s">
        <v>2487</v>
      </c>
      <c r="D257" s="1936" t="s">
        <v>804</v>
      </c>
      <c r="E257" s="1913" t="s">
        <v>1242</v>
      </c>
      <c r="F257" s="1914">
        <v>22641480</v>
      </c>
      <c r="G257" s="1914">
        <v>0</v>
      </c>
      <c r="H257" s="1914">
        <f t="shared" si="65"/>
        <v>0</v>
      </c>
      <c r="J257" s="1914"/>
      <c r="K257" s="1914"/>
    </row>
    <row r="258" spans="1:16" outlineLevel="1">
      <c r="A258" s="1913" t="s">
        <v>2249</v>
      </c>
      <c r="B258" s="1913" t="s">
        <v>2250</v>
      </c>
      <c r="C258" s="1936" t="s">
        <v>2498</v>
      </c>
      <c r="D258" s="1936" t="s">
        <v>2499</v>
      </c>
      <c r="E258" s="1913" t="s">
        <v>2409</v>
      </c>
      <c r="F258" s="1914">
        <v>78777128</v>
      </c>
      <c r="G258" s="1914">
        <v>42996</v>
      </c>
      <c r="H258" s="1914">
        <v>0</v>
      </c>
      <c r="J258" s="1914"/>
      <c r="K258" s="1914"/>
    </row>
    <row r="259" spans="1:16" outlineLevel="1">
      <c r="A259" s="1913" t="s">
        <v>2252</v>
      </c>
      <c r="B259" s="1913" t="s">
        <v>2410</v>
      </c>
      <c r="C259" s="1936" t="s">
        <v>2500</v>
      </c>
      <c r="D259" s="1936" t="s">
        <v>2501</v>
      </c>
      <c r="E259" s="1913" t="s">
        <v>2411</v>
      </c>
      <c r="F259" s="1914">
        <v>14144411</v>
      </c>
      <c r="G259" s="1914">
        <v>59799</v>
      </c>
      <c r="H259" s="1914">
        <f t="shared" si="65"/>
        <v>56806</v>
      </c>
      <c r="J259" s="1914"/>
      <c r="K259" s="1914"/>
    </row>
    <row r="260" spans="1:16" outlineLevel="1">
      <c r="A260" s="1920" t="s">
        <v>2502</v>
      </c>
      <c r="B260" s="1920"/>
      <c r="C260" s="1938" t="s">
        <v>2503</v>
      </c>
      <c r="D260" s="1938" t="s">
        <v>2504</v>
      </c>
      <c r="F260" s="1918">
        <f>SUM(F256:F259)</f>
        <v>180397100</v>
      </c>
      <c r="G260" s="1918">
        <f t="shared" ref="G260:H260" si="67">SUM(G256:G259)</f>
        <v>153371</v>
      </c>
      <c r="H260" s="1918">
        <f t="shared" si="67"/>
        <v>483347</v>
      </c>
    </row>
    <row r="261" spans="1:16" outlineLevel="1">
      <c r="A261" s="1913" t="s">
        <v>1246</v>
      </c>
      <c r="B261" s="1913" t="s">
        <v>2245</v>
      </c>
      <c r="C261" s="1936" t="s">
        <v>2505</v>
      </c>
      <c r="D261" s="1936" t="s">
        <v>2506</v>
      </c>
      <c r="E261" s="1913" t="s">
        <v>1349</v>
      </c>
      <c r="F261" s="1914">
        <v>64407540</v>
      </c>
      <c r="G261" s="1914">
        <v>50246</v>
      </c>
      <c r="H261" s="1914">
        <f t="shared" si="65"/>
        <v>426541</v>
      </c>
    </row>
    <row r="262" spans="1:16" outlineLevel="1">
      <c r="A262" s="1913" t="s">
        <v>1372</v>
      </c>
      <c r="B262" s="1913" t="s">
        <v>2248</v>
      </c>
      <c r="C262" s="1936" t="s">
        <v>2487</v>
      </c>
      <c r="D262" s="1936" t="s">
        <v>804</v>
      </c>
      <c r="E262" s="1913" t="s">
        <v>1242</v>
      </c>
      <c r="F262" s="1914">
        <v>22641480</v>
      </c>
      <c r="G262" s="1914">
        <v>0</v>
      </c>
      <c r="H262" s="1914">
        <f t="shared" si="65"/>
        <v>0</v>
      </c>
    </row>
    <row r="263" spans="1:16">
      <c r="A263" s="1913" t="s">
        <v>2249</v>
      </c>
      <c r="B263" s="1913" t="s">
        <v>2250</v>
      </c>
      <c r="C263" s="1936" t="s">
        <v>2507</v>
      </c>
      <c r="D263" s="1936" t="s">
        <v>2508</v>
      </c>
      <c r="E263" s="1913" t="s">
        <v>2409</v>
      </c>
      <c r="F263" s="1914">
        <v>78945574</v>
      </c>
      <c r="G263" s="1914">
        <v>50292</v>
      </c>
      <c r="H263" s="1914">
        <v>0</v>
      </c>
    </row>
    <row r="264" spans="1:16">
      <c r="A264" s="1913" t="s">
        <v>2252</v>
      </c>
      <c r="B264" s="1913" t="s">
        <v>2410</v>
      </c>
      <c r="C264" s="1936" t="s">
        <v>2509</v>
      </c>
      <c r="D264" s="1936" t="s">
        <v>2510</v>
      </c>
      <c r="E264" s="1913" t="s">
        <v>2411</v>
      </c>
      <c r="F264" s="1914">
        <v>14087606</v>
      </c>
      <c r="G264" s="1914">
        <v>59559</v>
      </c>
      <c r="H264" s="1914">
        <f t="shared" si="65"/>
        <v>56805</v>
      </c>
    </row>
    <row r="265" spans="1:16">
      <c r="A265" s="1920" t="s">
        <v>2511</v>
      </c>
      <c r="B265" s="1920"/>
      <c r="C265" s="1938" t="s">
        <v>2512</v>
      </c>
      <c r="D265" s="1938" t="s">
        <v>2513</v>
      </c>
      <c r="F265" s="1918">
        <f>SUM(F261:F264)</f>
        <v>180082200</v>
      </c>
      <c r="G265" s="1918">
        <f t="shared" ref="G265:H265" si="68">SUM(G261:G264)</f>
        <v>160097</v>
      </c>
      <c r="H265" s="1918">
        <f t="shared" si="68"/>
        <v>483346</v>
      </c>
    </row>
    <row r="266" spans="1:16">
      <c r="A266" s="1913" t="s">
        <v>1246</v>
      </c>
      <c r="B266" s="1913" t="s">
        <v>2245</v>
      </c>
      <c r="C266" s="1936" t="s">
        <v>2514</v>
      </c>
      <c r="D266" s="1936" t="s">
        <v>2515</v>
      </c>
      <c r="E266" s="1913" t="s">
        <v>1349</v>
      </c>
      <c r="F266" s="1914">
        <v>63980999</v>
      </c>
      <c r="G266" s="1914">
        <v>48305</v>
      </c>
      <c r="H266" s="1914">
        <f t="shared" si="65"/>
        <v>426541</v>
      </c>
      <c r="I266" s="1914"/>
    </row>
    <row r="267" spans="1:16">
      <c r="A267" s="1913" t="s">
        <v>1372</v>
      </c>
      <c r="B267" s="1913" t="s">
        <v>2248</v>
      </c>
      <c r="C267" s="1936" t="s">
        <v>2516</v>
      </c>
      <c r="D267" s="1936" t="s">
        <v>2517</v>
      </c>
      <c r="E267" s="1913" t="s">
        <v>1242</v>
      </c>
      <c r="F267" s="1914">
        <v>22075440</v>
      </c>
      <c r="G267" s="1914">
        <v>112830</v>
      </c>
      <c r="H267" s="1914">
        <f t="shared" si="65"/>
        <v>566040</v>
      </c>
      <c r="I267" s="1914"/>
    </row>
    <row r="268" spans="1:16">
      <c r="A268" s="1913" t="s">
        <v>2249</v>
      </c>
      <c r="B268" s="1913" t="s">
        <v>2250</v>
      </c>
      <c r="C268" s="1936" t="s">
        <v>2518</v>
      </c>
      <c r="D268" s="1936" t="s">
        <v>2519</v>
      </c>
      <c r="E268" s="1913" t="s">
        <v>2409</v>
      </c>
      <c r="F268" s="1914">
        <v>13920622</v>
      </c>
      <c r="G268" s="1914">
        <v>53951</v>
      </c>
      <c r="H268" s="1914">
        <f>+F263-F268</f>
        <v>65024952</v>
      </c>
      <c r="I268" s="1914"/>
    </row>
    <row r="269" spans="1:16">
      <c r="A269" s="1913" t="s">
        <v>2252</v>
      </c>
      <c r="B269" s="1913" t="s">
        <v>2410</v>
      </c>
      <c r="C269" s="1936" t="s">
        <v>2520</v>
      </c>
      <c r="D269" s="1936" t="s">
        <v>2521</v>
      </c>
      <c r="E269" s="1913" t="s">
        <v>2411</v>
      </c>
      <c r="F269" s="1914">
        <v>14030801</v>
      </c>
      <c r="G269" s="1914">
        <v>57406</v>
      </c>
      <c r="H269" s="1914">
        <f t="shared" si="65"/>
        <v>56805</v>
      </c>
    </row>
    <row r="270" spans="1:16">
      <c r="A270" s="1920" t="s">
        <v>2522</v>
      </c>
      <c r="B270" s="1920"/>
      <c r="C270" s="1938" t="s">
        <v>2523</v>
      </c>
      <c r="D270" s="1938" t="s">
        <v>2524</v>
      </c>
      <c r="F270" s="1918">
        <f>SUM(F266:F269)</f>
        <v>114007862</v>
      </c>
      <c r="G270" s="1918">
        <f t="shared" ref="G270:H270" si="69">SUM(G266:G269)</f>
        <v>272492</v>
      </c>
      <c r="H270" s="1918">
        <f t="shared" si="69"/>
        <v>66074338</v>
      </c>
    </row>
    <row r="271" spans="1:16">
      <c r="A271" s="1913" t="s">
        <v>1246</v>
      </c>
      <c r="B271" s="1913" t="s">
        <v>2245</v>
      </c>
      <c r="C271" s="1936" t="s">
        <v>2584</v>
      </c>
      <c r="D271" s="1936" t="s">
        <v>2585</v>
      </c>
      <c r="E271" s="1913" t="s">
        <v>1349</v>
      </c>
      <c r="F271" s="1914">
        <v>63554458</v>
      </c>
      <c r="G271" s="1914">
        <v>49585</v>
      </c>
      <c r="H271" s="1914">
        <f t="shared" si="65"/>
        <v>426541</v>
      </c>
      <c r="O271" s="1914"/>
      <c r="P271" s="1914"/>
    </row>
    <row r="272" spans="1:16">
      <c r="A272" s="1913" t="s">
        <v>1372</v>
      </c>
      <c r="B272" s="1913" t="s">
        <v>2248</v>
      </c>
      <c r="C272" s="1936" t="s">
        <v>2516</v>
      </c>
      <c r="D272" s="1936" t="s">
        <v>804</v>
      </c>
      <c r="E272" s="1913" t="s">
        <v>1242</v>
      </c>
      <c r="F272" s="1914">
        <v>22075440</v>
      </c>
      <c r="G272" s="1914">
        <v>0</v>
      </c>
      <c r="H272" s="1914">
        <f t="shared" si="65"/>
        <v>0</v>
      </c>
      <c r="O272" s="1914"/>
      <c r="P272" s="1914"/>
    </row>
    <row r="273" spans="1:16">
      <c r="A273" s="1913" t="s">
        <v>2249</v>
      </c>
      <c r="B273" s="1913" t="s">
        <v>2250</v>
      </c>
      <c r="C273" s="1936" t="s">
        <v>2518</v>
      </c>
      <c r="D273" s="1936" t="s">
        <v>2586</v>
      </c>
      <c r="E273" s="1913" t="s">
        <v>2409</v>
      </c>
      <c r="F273" s="1914">
        <v>13920622</v>
      </c>
      <c r="G273" s="1914">
        <v>58617</v>
      </c>
      <c r="H273" s="1914">
        <f t="shared" si="65"/>
        <v>0</v>
      </c>
      <c r="N273" s="1914"/>
      <c r="O273" s="1914"/>
      <c r="P273" s="1914"/>
    </row>
    <row r="274" spans="1:16">
      <c r="A274" s="1913" t="s">
        <v>2252</v>
      </c>
      <c r="B274" s="1913" t="s">
        <v>2410</v>
      </c>
      <c r="C274" s="1936" t="s">
        <v>2587</v>
      </c>
      <c r="D274" s="1936" t="s">
        <v>2588</v>
      </c>
      <c r="E274" s="1913" t="s">
        <v>2411</v>
      </c>
      <c r="F274" s="1914">
        <v>13973996</v>
      </c>
      <c r="G274" s="1914">
        <v>59081</v>
      </c>
      <c r="H274" s="1914">
        <f t="shared" si="65"/>
        <v>56805</v>
      </c>
      <c r="O274" s="1914"/>
      <c r="P274" s="1914"/>
    </row>
    <row r="275" spans="1:16">
      <c r="A275" s="1920" t="s">
        <v>2535</v>
      </c>
      <c r="B275" s="1920"/>
      <c r="C275" s="1938" t="s">
        <v>2589</v>
      </c>
      <c r="D275" s="1938" t="s">
        <v>2590</v>
      </c>
      <c r="F275" s="1918">
        <f>SUM(F271:F274)</f>
        <v>113524516</v>
      </c>
      <c r="G275" s="1918">
        <f t="shared" ref="G275:H275" si="70">SUM(G271:G274)</f>
        <v>167283</v>
      </c>
      <c r="H275" s="1918">
        <f t="shared" si="70"/>
        <v>483346</v>
      </c>
      <c r="O275" s="1914"/>
    </row>
    <row r="276" spans="1:16" ht="12.75">
      <c r="A276" t="s">
        <v>1246</v>
      </c>
      <c r="B276" t="s">
        <v>2245</v>
      </c>
      <c r="C276" s="2916" t="s">
        <v>2591</v>
      </c>
      <c r="D276" s="2916" t="s">
        <v>2592</v>
      </c>
      <c r="E276" t="s">
        <v>1349</v>
      </c>
      <c r="F276" s="1914">
        <v>63127917</v>
      </c>
      <c r="G276" s="1914">
        <v>47665</v>
      </c>
      <c r="H276" s="1914">
        <f>+F271-F276</f>
        <v>426541</v>
      </c>
      <c r="O276" s="1914"/>
    </row>
    <row r="277" spans="1:16" ht="12.75">
      <c r="A277" t="s">
        <v>1372</v>
      </c>
      <c r="B277" t="s">
        <v>2248</v>
      </c>
      <c r="C277" s="2916" t="s">
        <v>2516</v>
      </c>
      <c r="D277" s="2916" t="s">
        <v>804</v>
      </c>
      <c r="E277" t="s">
        <v>1242</v>
      </c>
      <c r="F277" s="1914">
        <v>22075440</v>
      </c>
      <c r="G277" s="1914">
        <v>0</v>
      </c>
      <c r="H277" s="1914">
        <f t="shared" si="65"/>
        <v>0</v>
      </c>
    </row>
    <row r="278" spans="1:16" ht="12.75">
      <c r="A278" t="s">
        <v>2249</v>
      </c>
      <c r="B278" t="s">
        <v>2250</v>
      </c>
      <c r="C278" s="2916" t="s">
        <v>2518</v>
      </c>
      <c r="D278" s="2916" t="s">
        <v>2593</v>
      </c>
      <c r="E278" t="s">
        <v>2594</v>
      </c>
      <c r="F278" s="1914">
        <v>13920622</v>
      </c>
      <c r="G278" s="1914">
        <v>56726</v>
      </c>
      <c r="H278" s="1914">
        <f>+F273-F278</f>
        <v>0</v>
      </c>
    </row>
    <row r="279" spans="1:16" ht="12.75">
      <c r="A279" t="s">
        <v>2252</v>
      </c>
      <c r="B279" t="s">
        <v>2595</v>
      </c>
      <c r="C279" s="2916" t="s">
        <v>2596</v>
      </c>
      <c r="D279" s="2916" t="s">
        <v>2597</v>
      </c>
      <c r="E279" t="s">
        <v>2598</v>
      </c>
      <c r="F279" s="1914">
        <v>13917192</v>
      </c>
      <c r="G279" s="1914">
        <v>56944</v>
      </c>
      <c r="H279" s="1914">
        <f>+F274-F279</f>
        <v>56804</v>
      </c>
    </row>
    <row r="280" spans="1:16" ht="12.75">
      <c r="A280" s="1228" t="s">
        <v>2536</v>
      </c>
      <c r="B280" s="1228"/>
      <c r="C280" s="2917" t="s">
        <v>2599</v>
      </c>
      <c r="D280" s="2917" t="s">
        <v>2600</v>
      </c>
      <c r="E280"/>
      <c r="F280" s="1918">
        <f>SUM(F276:F279)</f>
        <v>113041171</v>
      </c>
      <c r="G280" s="1918">
        <f t="shared" ref="G280:H280" si="71">SUM(G276:G279)</f>
        <v>161335</v>
      </c>
      <c r="H280" s="1918">
        <f t="shared" si="71"/>
        <v>483345</v>
      </c>
    </row>
    <row r="281" spans="1:16" ht="12.75">
      <c r="A281" t="s">
        <v>1246</v>
      </c>
      <c r="B281" t="s">
        <v>2620</v>
      </c>
      <c r="C281" s="2916" t="s">
        <v>2621</v>
      </c>
      <c r="D281" s="2916" t="s">
        <v>2622</v>
      </c>
      <c r="E281" t="s">
        <v>1349</v>
      </c>
      <c r="F281" s="1914">
        <v>62701376</v>
      </c>
      <c r="G281" s="1914">
        <v>48924</v>
      </c>
      <c r="H281" s="1914">
        <f t="shared" ref="H281:H284" si="72">+F276-F281</f>
        <v>426541</v>
      </c>
    </row>
    <row r="282" spans="1:16" ht="12.75">
      <c r="A282" t="s">
        <v>1372</v>
      </c>
      <c r="B282" t="s">
        <v>2623</v>
      </c>
      <c r="C282" s="2916" t="s">
        <v>2624</v>
      </c>
      <c r="D282" s="2916" t="s">
        <v>2625</v>
      </c>
      <c r="E282" t="s">
        <v>1242</v>
      </c>
      <c r="F282" s="1914">
        <v>21509400</v>
      </c>
      <c r="G282" s="1914">
        <v>111205</v>
      </c>
      <c r="H282" s="1914">
        <f t="shared" si="72"/>
        <v>566040</v>
      </c>
    </row>
    <row r="283" spans="1:16" ht="12.75">
      <c r="A283" t="s">
        <v>2249</v>
      </c>
      <c r="B283" t="s">
        <v>2626</v>
      </c>
      <c r="C283" s="2916" t="s">
        <v>2518</v>
      </c>
      <c r="D283" s="2916" t="s">
        <v>2586</v>
      </c>
      <c r="E283" t="s">
        <v>2594</v>
      </c>
      <c r="F283" s="1914">
        <v>13920622</v>
      </c>
      <c r="G283" s="1914">
        <v>58617</v>
      </c>
      <c r="H283" s="1914">
        <f t="shared" si="72"/>
        <v>0</v>
      </c>
    </row>
    <row r="284" spans="1:16" ht="12.75">
      <c r="A284" t="s">
        <v>2252</v>
      </c>
      <c r="B284" t="s">
        <v>2627</v>
      </c>
      <c r="C284" s="2916" t="s">
        <v>2628</v>
      </c>
      <c r="D284" s="2916" t="s">
        <v>2629</v>
      </c>
      <c r="E284" t="s">
        <v>2630</v>
      </c>
      <c r="F284" s="1914">
        <v>13860388</v>
      </c>
      <c r="G284" s="1914">
        <v>58617</v>
      </c>
      <c r="H284" s="1914">
        <f t="shared" si="72"/>
        <v>56804</v>
      </c>
    </row>
    <row r="285" spans="1:16" ht="12.75">
      <c r="A285" s="2998" t="s">
        <v>2631</v>
      </c>
      <c r="B285" s="2998" t="s">
        <v>2632</v>
      </c>
      <c r="C285" s="2999" t="s">
        <v>2633</v>
      </c>
      <c r="D285" s="2999" t="s">
        <v>2634</v>
      </c>
      <c r="E285" s="2998" t="s">
        <v>2635</v>
      </c>
      <c r="F285" s="1914">
        <v>2611345</v>
      </c>
      <c r="G285" s="1914">
        <v>3239</v>
      </c>
    </row>
    <row r="286" spans="1:16" ht="12.75">
      <c r="A286" s="1228" t="s">
        <v>2636</v>
      </c>
      <c r="B286" s="1228"/>
      <c r="C286" s="1229" t="s">
        <v>2637</v>
      </c>
      <c r="D286" s="1229" t="s">
        <v>2638</v>
      </c>
      <c r="E286"/>
      <c r="F286" s="1918">
        <f>SUM(F281:F285)</f>
        <v>114603131</v>
      </c>
      <c r="G286" s="1918">
        <f t="shared" ref="G286:H286" si="73">SUM(G281:G285)</f>
        <v>280602</v>
      </c>
      <c r="H286" s="1918">
        <f t="shared" si="73"/>
        <v>1049385</v>
      </c>
    </row>
    <row r="287" spans="1:16" ht="12.75">
      <c r="A287" t="s">
        <v>1246</v>
      </c>
      <c r="B287" t="s">
        <v>2620</v>
      </c>
      <c r="C287" s="2916" t="s">
        <v>2655</v>
      </c>
      <c r="D287" s="2916" t="s">
        <v>2656</v>
      </c>
      <c r="E287" t="s">
        <v>1349</v>
      </c>
      <c r="F287" s="1914">
        <v>62274825</v>
      </c>
      <c r="G287" s="1914">
        <v>48593</v>
      </c>
      <c r="H287" s="1914">
        <f>+F281-F287</f>
        <v>426551</v>
      </c>
    </row>
    <row r="288" spans="1:16" ht="12.75">
      <c r="A288" t="s">
        <v>1372</v>
      </c>
      <c r="B288" t="s">
        <v>2623</v>
      </c>
      <c r="C288" s="2916" t="s">
        <v>2624</v>
      </c>
      <c r="D288" s="2916" t="s">
        <v>804</v>
      </c>
      <c r="E288" t="s">
        <v>1242</v>
      </c>
      <c r="F288" s="1914">
        <v>21509400</v>
      </c>
      <c r="G288" s="1914">
        <v>0</v>
      </c>
      <c r="H288" s="1914">
        <f>+F282-F288</f>
        <v>0</v>
      </c>
    </row>
    <row r="289" spans="1:8" ht="12.75">
      <c r="A289" t="s">
        <v>2249</v>
      </c>
      <c r="B289" t="s">
        <v>2626</v>
      </c>
      <c r="C289" s="2916" t="s">
        <v>2518</v>
      </c>
      <c r="D289" s="2916" t="s">
        <v>2586</v>
      </c>
      <c r="E289" t="s">
        <v>2594</v>
      </c>
      <c r="F289" s="1914">
        <v>13920622</v>
      </c>
      <c r="G289" s="1914">
        <v>58617</v>
      </c>
      <c r="H289" s="1914">
        <f t="shared" ref="H289:H290" si="74">+F283-F289</f>
        <v>0</v>
      </c>
    </row>
    <row r="290" spans="1:8" ht="12.75">
      <c r="A290" t="s">
        <v>2252</v>
      </c>
      <c r="B290" t="s">
        <v>2627</v>
      </c>
      <c r="C290" s="2916" t="s">
        <v>2657</v>
      </c>
      <c r="D290" s="2916" t="s">
        <v>2658</v>
      </c>
      <c r="E290" t="s">
        <v>2630</v>
      </c>
      <c r="F290" s="1914">
        <v>13803582</v>
      </c>
      <c r="G290" s="1914">
        <v>58363</v>
      </c>
      <c r="H290" s="1914">
        <f t="shared" si="74"/>
        <v>56806</v>
      </c>
    </row>
    <row r="291" spans="1:8" ht="12.75">
      <c r="A291" s="1457" t="s">
        <v>2631</v>
      </c>
      <c r="B291" s="1457" t="s">
        <v>2632</v>
      </c>
      <c r="C291" s="3007" t="s">
        <v>2650</v>
      </c>
      <c r="D291" s="3007" t="s">
        <v>2659</v>
      </c>
      <c r="E291" t="s">
        <v>2660</v>
      </c>
      <c r="F291" s="1914">
        <v>2611345</v>
      </c>
      <c r="G291" s="1914">
        <v>7173</v>
      </c>
      <c r="H291" s="1914">
        <f>+F285-F291</f>
        <v>0</v>
      </c>
    </row>
    <row r="292" spans="1:8" ht="12.75">
      <c r="A292" s="1228" t="s">
        <v>2661</v>
      </c>
      <c r="B292" s="1228"/>
      <c r="C292" s="1229" t="s">
        <v>2662</v>
      </c>
      <c r="D292" s="1229" t="s">
        <v>2663</v>
      </c>
      <c r="E292"/>
      <c r="F292" s="1918">
        <f>SUM(F287:F291)</f>
        <v>114119774</v>
      </c>
      <c r="G292" s="1918">
        <f t="shared" ref="G292:H292" si="75">SUM(G287:G291)</f>
        <v>172746</v>
      </c>
      <c r="H292" s="1918">
        <f t="shared" si="75"/>
        <v>483357</v>
      </c>
    </row>
    <row r="293" spans="1:8" ht="12.75">
      <c r="A293" t="s">
        <v>1246</v>
      </c>
      <c r="B293" t="s">
        <v>2620</v>
      </c>
      <c r="C293" s="3005" t="s">
        <v>2645</v>
      </c>
      <c r="D293" s="2916" t="s">
        <v>2646</v>
      </c>
      <c r="E293" t="s">
        <v>1349</v>
      </c>
      <c r="F293" s="1914">
        <v>61848294</v>
      </c>
      <c r="G293" s="1914">
        <v>43592</v>
      </c>
      <c r="H293" s="1914">
        <f t="shared" ref="H293:H296" si="76">+F287-F293</f>
        <v>426531</v>
      </c>
    </row>
    <row r="294" spans="1:8" ht="12.75">
      <c r="A294" t="s">
        <v>1372</v>
      </c>
      <c r="B294" t="s">
        <v>2623</v>
      </c>
      <c r="C294" s="3005" t="s">
        <v>2624</v>
      </c>
      <c r="D294" s="2916" t="s">
        <v>804</v>
      </c>
      <c r="E294" t="s">
        <v>1242</v>
      </c>
      <c r="F294" s="1914">
        <v>21509400</v>
      </c>
      <c r="G294" s="1914">
        <v>0</v>
      </c>
      <c r="H294" s="1914">
        <f t="shared" si="76"/>
        <v>0</v>
      </c>
    </row>
    <row r="295" spans="1:8" ht="12.75">
      <c r="A295" t="s">
        <v>2249</v>
      </c>
      <c r="B295" t="s">
        <v>2626</v>
      </c>
      <c r="C295" s="3005" t="s">
        <v>2518</v>
      </c>
      <c r="D295" s="2916" t="s">
        <v>2647</v>
      </c>
      <c r="E295" t="s">
        <v>2594</v>
      </c>
      <c r="F295" s="1914">
        <v>13920622</v>
      </c>
      <c r="G295" s="1914">
        <v>54944</v>
      </c>
      <c r="H295" s="1914">
        <f t="shared" si="76"/>
        <v>0</v>
      </c>
    </row>
    <row r="296" spans="1:8" ht="12.75">
      <c r="A296" t="s">
        <v>2252</v>
      </c>
      <c r="B296" t="s">
        <v>2627</v>
      </c>
      <c r="C296" s="3005" t="s">
        <v>2648</v>
      </c>
      <c r="D296" s="2916" t="s">
        <v>2649</v>
      </c>
      <c r="E296" t="s">
        <v>2630</v>
      </c>
      <c r="F296" s="1914">
        <v>13746777</v>
      </c>
      <c r="G296" s="1914">
        <v>52499</v>
      </c>
      <c r="H296" s="1914">
        <f t="shared" si="76"/>
        <v>56805</v>
      </c>
    </row>
    <row r="297" spans="1:8" ht="12.75">
      <c r="A297" s="1457" t="s">
        <v>2631</v>
      </c>
      <c r="B297" s="1457" t="s">
        <v>2632</v>
      </c>
      <c r="C297" s="3006" t="s">
        <v>2650</v>
      </c>
      <c r="D297" s="3007" t="s">
        <v>2651</v>
      </c>
      <c r="E297" t="s">
        <v>2660</v>
      </c>
      <c r="F297" s="1914">
        <v>2611345</v>
      </c>
      <c r="G297" s="1914">
        <v>6479</v>
      </c>
      <c r="H297" s="1914">
        <f>+F291-F297</f>
        <v>0</v>
      </c>
    </row>
    <row r="298" spans="1:8" ht="12.75">
      <c r="A298" s="1228" t="s">
        <v>2652</v>
      </c>
      <c r="B298" s="1228"/>
      <c r="C298" s="1229" t="s">
        <v>2653</v>
      </c>
      <c r="D298" s="1229" t="s">
        <v>2654</v>
      </c>
      <c r="E298"/>
      <c r="F298" s="1918">
        <f>SUM(F293:F297)</f>
        <v>113636438</v>
      </c>
      <c r="G298" s="1918">
        <f t="shared" ref="G298:H298" si="77">SUM(G293:G297)</f>
        <v>157514</v>
      </c>
      <c r="H298" s="1918">
        <f t="shared" si="77"/>
        <v>483336</v>
      </c>
    </row>
    <row r="299" spans="1:8" ht="12.75">
      <c r="A299" t="s">
        <v>1246</v>
      </c>
      <c r="B299" t="s">
        <v>2620</v>
      </c>
      <c r="C299" s="3005" t="s">
        <v>2669</v>
      </c>
      <c r="D299" s="2916" t="s">
        <v>2670</v>
      </c>
      <c r="E299" t="s">
        <v>1349</v>
      </c>
      <c r="F299" s="1914">
        <v>61421753</v>
      </c>
      <c r="G299" s="1914">
        <v>47932</v>
      </c>
      <c r="H299" s="1914">
        <f>+F293-F299</f>
        <v>426541</v>
      </c>
    </row>
    <row r="300" spans="1:8" ht="12.75">
      <c r="A300" t="s">
        <v>1372</v>
      </c>
      <c r="B300" t="s">
        <v>2623</v>
      </c>
      <c r="C300" s="3005" t="s">
        <v>2671</v>
      </c>
      <c r="D300" s="2916" t="s">
        <v>2672</v>
      </c>
      <c r="E300" t="s">
        <v>1242</v>
      </c>
      <c r="F300" s="1914">
        <v>20943360</v>
      </c>
      <c r="G300" s="1914">
        <v>102528</v>
      </c>
      <c r="H300" s="1914">
        <f t="shared" ref="H300:H301" si="78">+F294-F300</f>
        <v>566040</v>
      </c>
    </row>
    <row r="301" spans="1:8" ht="12.75">
      <c r="A301" t="s">
        <v>2249</v>
      </c>
      <c r="B301" t="s">
        <v>2626</v>
      </c>
      <c r="C301" s="3005" t="s">
        <v>2518</v>
      </c>
      <c r="D301" s="2916" t="s">
        <v>2586</v>
      </c>
      <c r="E301" t="s">
        <v>2594</v>
      </c>
      <c r="F301" s="1914">
        <v>13920622</v>
      </c>
      <c r="G301" s="1914">
        <v>58617</v>
      </c>
      <c r="H301" s="1914">
        <f t="shared" si="78"/>
        <v>0</v>
      </c>
    </row>
    <row r="302" spans="1:8" ht="12.75">
      <c r="A302" s="22" t="s">
        <v>2252</v>
      </c>
      <c r="B302" s="22" t="s">
        <v>2627</v>
      </c>
      <c r="C302" s="3013" t="s">
        <v>2673</v>
      </c>
      <c r="D302" s="3014" t="s">
        <v>2674</v>
      </c>
      <c r="E302" t="s">
        <v>2630</v>
      </c>
      <c r="F302" s="1914">
        <v>13689972</v>
      </c>
      <c r="G302" s="1914">
        <v>57885</v>
      </c>
      <c r="H302" s="1914">
        <f>+F296-F302</f>
        <v>56805</v>
      </c>
    </row>
    <row r="303" spans="1:8" ht="12.75">
      <c r="A303" s="1457" t="s">
        <v>2631</v>
      </c>
      <c r="B303" s="1457" t="s">
        <v>2632</v>
      </c>
      <c r="C303" s="3006" t="s">
        <v>2675</v>
      </c>
      <c r="D303" s="3007" t="s">
        <v>2676</v>
      </c>
      <c r="E303" s="1457" t="s">
        <v>2660</v>
      </c>
      <c r="F303" s="1914">
        <v>3480238.48</v>
      </c>
      <c r="G303" s="1914">
        <v>8020.15</v>
      </c>
    </row>
    <row r="304" spans="1:8" ht="12.75">
      <c r="A304" s="1228" t="s">
        <v>2677</v>
      </c>
      <c r="B304" s="1228"/>
      <c r="C304" s="1229" t="s">
        <v>2678</v>
      </c>
      <c r="D304" s="1229" t="s">
        <v>2679</v>
      </c>
      <c r="E304"/>
      <c r="F304" s="1918">
        <f>SUM(F299:F303)</f>
        <v>113455945.48</v>
      </c>
      <c r="G304" s="1918">
        <f t="shared" ref="G304:H304" si="79">SUM(G299:G303)</f>
        <v>274982.15000000002</v>
      </c>
      <c r="H304" s="1918">
        <f t="shared" si="79"/>
        <v>1049386</v>
      </c>
    </row>
    <row r="305" spans="1:8" ht="12.75">
      <c r="A305" t="s">
        <v>1246</v>
      </c>
      <c r="B305" t="s">
        <v>2620</v>
      </c>
      <c r="C305" s="3005" t="s">
        <v>2681</v>
      </c>
      <c r="D305" s="2916" t="s">
        <v>2682</v>
      </c>
      <c r="E305" t="s">
        <v>1349</v>
      </c>
      <c r="F305" s="1914">
        <v>60995212</v>
      </c>
      <c r="G305" s="1914">
        <v>46066</v>
      </c>
      <c r="H305" s="1914">
        <f>+F299-F305</f>
        <v>426541</v>
      </c>
    </row>
    <row r="306" spans="1:8" ht="12.75">
      <c r="A306" t="s">
        <v>1372</v>
      </c>
      <c r="B306" t="s">
        <v>2623</v>
      </c>
      <c r="C306" s="3005" t="s">
        <v>2683</v>
      </c>
      <c r="D306" s="2916" t="s">
        <v>804</v>
      </c>
      <c r="E306" t="s">
        <v>1242</v>
      </c>
      <c r="F306" s="1914">
        <v>20943360</v>
      </c>
      <c r="G306" s="1914">
        <v>0</v>
      </c>
      <c r="H306" s="1914">
        <f t="shared" ref="H306:H308" si="80">+F300-F306</f>
        <v>0</v>
      </c>
    </row>
    <row r="307" spans="1:8" ht="12.75">
      <c r="A307" t="s">
        <v>2249</v>
      </c>
      <c r="B307" t="s">
        <v>2626</v>
      </c>
      <c r="C307" s="3005" t="s">
        <v>2684</v>
      </c>
      <c r="D307" s="2916" t="s">
        <v>2593</v>
      </c>
      <c r="E307" t="s">
        <v>2594</v>
      </c>
      <c r="F307" s="1914">
        <v>13920622.949999999</v>
      </c>
      <c r="G307" s="1914">
        <v>56726</v>
      </c>
      <c r="H307" s="1914">
        <f>+F301-F307</f>
        <v>-0.94999999925494194</v>
      </c>
    </row>
    <row r="308" spans="1:8" ht="12.75">
      <c r="A308" s="22" t="s">
        <v>2252</v>
      </c>
      <c r="B308" s="22" t="s">
        <v>2627</v>
      </c>
      <c r="C308" s="3013" t="s">
        <v>2685</v>
      </c>
      <c r="D308" s="3014" t="s">
        <v>2686</v>
      </c>
      <c r="E308" t="s">
        <v>2630</v>
      </c>
      <c r="F308" s="1914">
        <v>13633167.73</v>
      </c>
      <c r="G308" s="1914">
        <v>55786</v>
      </c>
      <c r="H308" s="1914">
        <f t="shared" si="80"/>
        <v>56804.269999999553</v>
      </c>
    </row>
    <row r="309" spans="1:8" ht="12.75">
      <c r="A309" s="1457" t="s">
        <v>2631</v>
      </c>
      <c r="B309" s="1457" t="s">
        <v>2632</v>
      </c>
      <c r="C309" s="3006" t="s">
        <v>2687</v>
      </c>
      <c r="D309" s="3007" t="s">
        <v>2688</v>
      </c>
      <c r="E309" s="1457" t="s">
        <v>2660</v>
      </c>
      <c r="F309" s="3016">
        <v>7622061.21</v>
      </c>
      <c r="G309" s="3016">
        <v>12453.53</v>
      </c>
    </row>
    <row r="310" spans="1:8" ht="12.75">
      <c r="A310" s="1228" t="s">
        <v>2689</v>
      </c>
      <c r="B310" s="1228"/>
      <c r="C310" s="1229" t="s">
        <v>2690</v>
      </c>
      <c r="D310" s="1229" t="s">
        <v>2691</v>
      </c>
      <c r="E310"/>
      <c r="F310" s="1918">
        <f>SUM(F305:F309)</f>
        <v>117114423.89</v>
      </c>
      <c r="G310" s="1918">
        <f t="shared" ref="G310:H310" si="81">SUM(G305:G309)</f>
        <v>171031.53</v>
      </c>
      <c r="H310" s="1918">
        <f t="shared" si="81"/>
        <v>483344.3200000003</v>
      </c>
    </row>
    <row r="311" spans="1:8" ht="12.75">
      <c r="A311" t="s">
        <v>1246</v>
      </c>
      <c r="B311" t="s">
        <v>2620</v>
      </c>
      <c r="C311" s="2916" t="s">
        <v>2767</v>
      </c>
      <c r="D311" s="2916" t="s">
        <v>2768</v>
      </c>
      <c r="E311" t="s">
        <v>1349</v>
      </c>
      <c r="F311" s="1914">
        <v>60568671</v>
      </c>
      <c r="G311" s="1914">
        <v>47271</v>
      </c>
      <c r="H311" s="1914">
        <f>+F305-F311</f>
        <v>426541</v>
      </c>
    </row>
    <row r="312" spans="1:8" ht="12.75">
      <c r="A312" t="s">
        <v>1372</v>
      </c>
      <c r="B312" t="s">
        <v>2623</v>
      </c>
      <c r="C312" s="2916" t="s">
        <v>2683</v>
      </c>
      <c r="D312" s="2916" t="s">
        <v>804</v>
      </c>
      <c r="E312" t="s">
        <v>1242</v>
      </c>
      <c r="F312" s="1914">
        <v>20943360</v>
      </c>
      <c r="G312" s="1914">
        <v>0</v>
      </c>
      <c r="H312" s="1914">
        <f t="shared" ref="H312:H315" si="82">+F306-F312</f>
        <v>0</v>
      </c>
    </row>
    <row r="313" spans="1:8" ht="12.75">
      <c r="A313" t="s">
        <v>2249</v>
      </c>
      <c r="B313" t="s">
        <v>2626</v>
      </c>
      <c r="C313" s="2916" t="s">
        <v>2769</v>
      </c>
      <c r="D313" s="2916" t="s">
        <v>2586</v>
      </c>
      <c r="E313" t="s">
        <v>2594</v>
      </c>
      <c r="F313" s="1914">
        <v>13503955.949999999</v>
      </c>
      <c r="G313" s="1914">
        <v>58617</v>
      </c>
      <c r="H313" s="1914">
        <f>+F307-F313</f>
        <v>416667</v>
      </c>
    </row>
    <row r="314" spans="1:8" ht="12.75">
      <c r="A314" s="22" t="s">
        <v>2252</v>
      </c>
      <c r="B314" s="22" t="s">
        <v>2627</v>
      </c>
      <c r="C314" s="3014" t="s">
        <v>2770</v>
      </c>
      <c r="D314" s="3014" t="s">
        <v>2771</v>
      </c>
      <c r="E314" t="s">
        <v>2630</v>
      </c>
      <c r="F314" s="1914">
        <v>13576362.859999999</v>
      </c>
      <c r="G314" s="1914">
        <v>57407</v>
      </c>
      <c r="H314" s="1914">
        <f t="shared" si="82"/>
        <v>56804.870000001043</v>
      </c>
    </row>
    <row r="315" spans="1:8" ht="12.75">
      <c r="A315" s="1457" t="s">
        <v>2631</v>
      </c>
      <c r="B315" s="1457" t="s">
        <v>2632</v>
      </c>
      <c r="C315" s="3007" t="s">
        <v>2687</v>
      </c>
      <c r="D315" s="3007" t="s">
        <v>804</v>
      </c>
      <c r="E315" s="1457" t="s">
        <v>2660</v>
      </c>
      <c r="F315" s="1914">
        <v>7622061.21</v>
      </c>
      <c r="G315" s="1914">
        <v>0</v>
      </c>
      <c r="H315" s="1914">
        <f t="shared" si="82"/>
        <v>0</v>
      </c>
    </row>
    <row r="316" spans="1:8" ht="12.75">
      <c r="A316" s="1228" t="s">
        <v>2772</v>
      </c>
      <c r="B316" s="1228"/>
      <c r="C316" s="2917" t="s">
        <v>2773</v>
      </c>
      <c r="D316" s="1229" t="s">
        <v>2774</v>
      </c>
      <c r="E316"/>
      <c r="F316" s="1918">
        <f>SUM(F311:F315)</f>
        <v>116214411.02</v>
      </c>
      <c r="G316" s="1918">
        <f t="shared" ref="G316:H316" si="83">SUM(G311:G315)</f>
        <v>163295</v>
      </c>
      <c r="H316" s="1918">
        <f t="shared" si="83"/>
        <v>900012.87000000104</v>
      </c>
    </row>
    <row r="317" spans="1:8" ht="12.75">
      <c r="A317" t="s">
        <v>1246</v>
      </c>
      <c r="B317" t="s">
        <v>2620</v>
      </c>
      <c r="C317" s="3050" t="s">
        <v>2775</v>
      </c>
      <c r="D317" s="2916" t="s">
        <v>2776</v>
      </c>
      <c r="E317" t="s">
        <v>1349</v>
      </c>
      <c r="F317" s="1914">
        <v>60142130</v>
      </c>
      <c r="G317" s="1914">
        <v>45426.51</v>
      </c>
      <c r="H317" s="1914">
        <f>+F311-F317</f>
        <v>426541</v>
      </c>
    </row>
    <row r="318" spans="1:8" ht="12.75">
      <c r="A318" t="s">
        <v>1372</v>
      </c>
      <c r="B318" t="s">
        <v>2623</v>
      </c>
      <c r="C318" s="2916" t="s">
        <v>2777</v>
      </c>
      <c r="D318" s="2916" t="s">
        <v>2778</v>
      </c>
      <c r="E318" t="s">
        <v>1242</v>
      </c>
      <c r="F318" s="1914">
        <v>20377320</v>
      </c>
      <c r="G318" s="1914">
        <v>104367.74</v>
      </c>
      <c r="H318" s="1914">
        <f t="shared" ref="H318:H319" si="84">+F312-F318</f>
        <v>566040</v>
      </c>
    </row>
    <row r="319" spans="1:8" ht="12.75">
      <c r="A319" t="s">
        <v>2249</v>
      </c>
      <c r="B319" t="s">
        <v>2626</v>
      </c>
      <c r="C319" s="2916" t="s">
        <v>2779</v>
      </c>
      <c r="D319" s="2916" t="s">
        <v>2780</v>
      </c>
      <c r="E319" t="s">
        <v>2594</v>
      </c>
      <c r="F319" s="1914">
        <v>13087288.949999999</v>
      </c>
      <c r="G319" s="1914">
        <v>55028.62</v>
      </c>
      <c r="H319" s="1914">
        <f t="shared" si="84"/>
        <v>416667</v>
      </c>
    </row>
    <row r="320" spans="1:8" ht="12.75">
      <c r="A320" s="22" t="s">
        <v>2252</v>
      </c>
      <c r="B320" s="22" t="s">
        <v>2627</v>
      </c>
      <c r="C320" s="3014" t="s">
        <v>2781</v>
      </c>
      <c r="D320" s="3014" t="s">
        <v>2782</v>
      </c>
      <c r="E320" t="s">
        <v>2630</v>
      </c>
      <c r="F320" s="1914">
        <v>13519557.99</v>
      </c>
      <c r="G320" s="1914">
        <v>55323.67</v>
      </c>
      <c r="H320" s="1914">
        <f>+F314-F320</f>
        <v>56804.86999999918</v>
      </c>
    </row>
    <row r="321" spans="1:10" ht="12.75">
      <c r="A321" s="1457" t="s">
        <v>2631</v>
      </c>
      <c r="B321" s="1457" t="s">
        <v>2632</v>
      </c>
      <c r="C321" s="3007" t="s">
        <v>2783</v>
      </c>
      <c r="D321" s="3007" t="s">
        <v>804</v>
      </c>
      <c r="E321" s="1457" t="s">
        <v>2660</v>
      </c>
      <c r="F321" s="1914">
        <v>7662061.21</v>
      </c>
      <c r="G321" s="1914">
        <v>0</v>
      </c>
    </row>
    <row r="322" spans="1:10" ht="12.75">
      <c r="A322" s="1228" t="s">
        <v>2784</v>
      </c>
      <c r="B322" s="1228"/>
      <c r="C322" s="2917" t="s">
        <v>2785</v>
      </c>
      <c r="D322" s="1229" t="s">
        <v>2786</v>
      </c>
      <c r="E322"/>
      <c r="F322" s="1918">
        <f>SUM(F317:F321)</f>
        <v>114788358.14999999</v>
      </c>
      <c r="G322" s="1918">
        <f t="shared" ref="G322:H322" si="85">SUM(G317:G321)</f>
        <v>260146.53999999998</v>
      </c>
      <c r="H322" s="1918">
        <f t="shared" si="85"/>
        <v>1466052.8699999992</v>
      </c>
    </row>
    <row r="323" spans="1:10" ht="12.75">
      <c r="A323" t="s">
        <v>1246</v>
      </c>
      <c r="B323" t="s">
        <v>2620</v>
      </c>
      <c r="C323" s="3050" t="s">
        <v>2791</v>
      </c>
      <c r="D323" s="2916" t="s">
        <v>2792</v>
      </c>
      <c r="E323" t="s">
        <v>1349</v>
      </c>
      <c r="F323" s="1914">
        <v>59715589</v>
      </c>
      <c r="G323" s="1914">
        <v>46610.15</v>
      </c>
      <c r="H323" s="1914">
        <f>+F317-F323</f>
        <v>426541</v>
      </c>
    </row>
    <row r="324" spans="1:10" ht="12.75">
      <c r="A324" t="s">
        <v>1372</v>
      </c>
      <c r="B324" t="s">
        <v>2623</v>
      </c>
      <c r="C324" s="2916" t="s">
        <v>2777</v>
      </c>
      <c r="D324" s="2916" t="s">
        <v>804</v>
      </c>
      <c r="E324" t="s">
        <v>1242</v>
      </c>
      <c r="F324" s="1914">
        <v>20377320</v>
      </c>
      <c r="G324" s="1914">
        <v>0</v>
      </c>
      <c r="H324" s="1914">
        <f t="shared" ref="H324:H325" si="86">+F318-F324</f>
        <v>0</v>
      </c>
    </row>
    <row r="325" spans="1:10" ht="12.75">
      <c r="A325" t="s">
        <v>2249</v>
      </c>
      <c r="B325" t="s">
        <v>2626</v>
      </c>
      <c r="C325" s="2916" t="s">
        <v>2793</v>
      </c>
      <c r="D325" s="2916" t="s">
        <v>2794</v>
      </c>
      <c r="E325" t="s">
        <v>2594</v>
      </c>
      <c r="F325" s="1914">
        <v>12670621.949999999</v>
      </c>
      <c r="G325" s="1914">
        <v>55108.39</v>
      </c>
      <c r="H325" s="1914">
        <f t="shared" si="86"/>
        <v>416667</v>
      </c>
    </row>
    <row r="326" spans="1:10" ht="12.75">
      <c r="A326" s="22" t="s">
        <v>2252</v>
      </c>
      <c r="B326" s="22" t="s">
        <v>2627</v>
      </c>
      <c r="C326" s="3014" t="s">
        <v>2795</v>
      </c>
      <c r="D326" s="3014" t="s">
        <v>2796</v>
      </c>
      <c r="E326" t="s">
        <v>2630</v>
      </c>
      <c r="F326" s="1914">
        <v>13462753.119999999</v>
      </c>
      <c r="G326" s="1914">
        <v>56928.61</v>
      </c>
      <c r="H326" s="1914">
        <f>+F320-F326</f>
        <v>56804.870000001043</v>
      </c>
    </row>
    <row r="327" spans="1:10" ht="12.75">
      <c r="A327" s="1457" t="s">
        <v>2631</v>
      </c>
      <c r="B327" s="1457" t="s">
        <v>2632</v>
      </c>
      <c r="C327" s="3007" t="s">
        <v>2687</v>
      </c>
      <c r="D327" s="3007" t="s">
        <v>804</v>
      </c>
      <c r="E327" s="1457" t="s">
        <v>2660</v>
      </c>
      <c r="F327" s="1914">
        <v>7622061.21</v>
      </c>
      <c r="G327" s="1914">
        <v>0</v>
      </c>
      <c r="H327" s="1914">
        <f>+F321-F327</f>
        <v>40000</v>
      </c>
    </row>
    <row r="328" spans="1:10" ht="12.75">
      <c r="A328" s="1228" t="s">
        <v>2797</v>
      </c>
      <c r="B328" s="1228"/>
      <c r="C328" s="2917" t="s">
        <v>2798</v>
      </c>
      <c r="D328" s="1229" t="s">
        <v>2799</v>
      </c>
      <c r="E328"/>
      <c r="F328" s="1918">
        <f>SUM(F323:F327)</f>
        <v>113848345.28</v>
      </c>
      <c r="G328" s="1918">
        <f t="shared" ref="G328:H328" si="87">SUM(G323:G327)</f>
        <v>158647.15000000002</v>
      </c>
      <c r="H328" s="1918">
        <f t="shared" si="87"/>
        <v>940012.87000000104</v>
      </c>
    </row>
    <row r="329" spans="1:10" ht="12.75">
      <c r="A329" t="s">
        <v>1246</v>
      </c>
      <c r="B329" t="s">
        <v>2620</v>
      </c>
      <c r="C329" s="3050" t="s">
        <v>2831</v>
      </c>
      <c r="D329" s="2916" t="s">
        <v>2832</v>
      </c>
      <c r="E329" t="s">
        <v>1349</v>
      </c>
      <c r="F329" s="1914">
        <v>59289048</v>
      </c>
      <c r="G329" s="1914">
        <v>46279.58</v>
      </c>
      <c r="H329" s="1914">
        <f>+F323-F329</f>
        <v>426541</v>
      </c>
    </row>
    <row r="330" spans="1:10" ht="12.75">
      <c r="A330" t="s">
        <v>1372</v>
      </c>
      <c r="B330" t="s">
        <v>2623</v>
      </c>
      <c r="C330" s="2916" t="s">
        <v>2777</v>
      </c>
      <c r="D330" s="2916" t="s">
        <v>804</v>
      </c>
      <c r="E330" t="s">
        <v>1242</v>
      </c>
      <c r="F330" s="1914">
        <v>20377320</v>
      </c>
      <c r="G330" s="1914">
        <v>0</v>
      </c>
      <c r="H330" s="1914">
        <f t="shared" ref="H330:H333" si="88">+F324-F330</f>
        <v>0</v>
      </c>
    </row>
    <row r="331" spans="1:10" ht="12.75">
      <c r="A331" t="s">
        <v>2249</v>
      </c>
      <c r="B331" t="s">
        <v>2626</v>
      </c>
      <c r="C331" s="2916" t="s">
        <v>2833</v>
      </c>
      <c r="D331" s="2916" t="s">
        <v>2834</v>
      </c>
      <c r="E331" t="s">
        <v>2594</v>
      </c>
      <c r="F331" s="1914">
        <v>12253954.949999999</v>
      </c>
      <c r="G331" s="1914">
        <v>53353.88</v>
      </c>
      <c r="H331" s="1914">
        <f t="shared" si="88"/>
        <v>416667</v>
      </c>
      <c r="J331" s="1914">
        <f>+H331+H325+H319</f>
        <v>1250001</v>
      </c>
    </row>
    <row r="332" spans="1:10" ht="12.75">
      <c r="A332" s="22" t="s">
        <v>2252</v>
      </c>
      <c r="B332" s="22" t="s">
        <v>2627</v>
      </c>
      <c r="C332" s="3014" t="s">
        <v>2835</v>
      </c>
      <c r="D332" s="3014" t="s">
        <v>2836</v>
      </c>
      <c r="E332" t="s">
        <v>2630</v>
      </c>
      <c r="F332" s="1914">
        <v>13405948.25</v>
      </c>
      <c r="G332" s="1914">
        <v>56689.41</v>
      </c>
      <c r="H332" s="1914">
        <f t="shared" si="88"/>
        <v>56804.86999999918</v>
      </c>
      <c r="J332" s="1913">
        <f>54924*4</f>
        <v>219696</v>
      </c>
    </row>
    <row r="333" spans="1:10" ht="12.75">
      <c r="A333" s="1457" t="s">
        <v>2631</v>
      </c>
      <c r="B333" s="1457" t="s">
        <v>2632</v>
      </c>
      <c r="C333" s="3007" t="s">
        <v>2687</v>
      </c>
      <c r="D333" s="3007" t="s">
        <v>2837</v>
      </c>
      <c r="E333" s="1457" t="s">
        <v>2660</v>
      </c>
      <c r="F333" s="1914">
        <v>7622061.21</v>
      </c>
      <c r="G333" s="1914">
        <v>20937.38</v>
      </c>
      <c r="H333" s="1914">
        <f t="shared" si="88"/>
        <v>0</v>
      </c>
    </row>
    <row r="334" spans="1:10" ht="12.75">
      <c r="A334" s="1228" t="s">
        <v>2838</v>
      </c>
      <c r="B334" s="1228"/>
      <c r="C334" s="2917" t="s">
        <v>2839</v>
      </c>
      <c r="D334" s="1229" t="s">
        <v>2840</v>
      </c>
      <c r="E334"/>
      <c r="F334" s="1918">
        <f>SUM(F329:F333)</f>
        <v>112948332.41</v>
      </c>
      <c r="G334" s="1918">
        <f t="shared" ref="G334:H334" si="89">SUM(G329:G333)</f>
        <v>177260.25</v>
      </c>
      <c r="H334" s="1918">
        <f t="shared" si="89"/>
        <v>900012.86999999918</v>
      </c>
    </row>
    <row r="335" spans="1:10" ht="12.75">
      <c r="A335" t="s">
        <v>1246</v>
      </c>
      <c r="B335" t="s">
        <v>2620</v>
      </c>
      <c r="C335" s="3050" t="s">
        <v>2841</v>
      </c>
      <c r="D335" s="2916" t="s">
        <v>2842</v>
      </c>
      <c r="E335" t="s">
        <v>1349</v>
      </c>
      <c r="F335" s="1914">
        <v>58862507</v>
      </c>
      <c r="G335" s="1914">
        <v>44466.78</v>
      </c>
      <c r="H335" s="1914">
        <f>+F329-F335</f>
        <v>426541</v>
      </c>
    </row>
    <row r="336" spans="1:10" ht="12.75">
      <c r="A336" t="s">
        <v>1372</v>
      </c>
      <c r="B336" t="s">
        <v>2623</v>
      </c>
      <c r="C336" s="2916" t="s">
        <v>2843</v>
      </c>
      <c r="D336" s="2916" t="s">
        <v>2844</v>
      </c>
      <c r="E336" t="s">
        <v>1242</v>
      </c>
      <c r="F336" s="1914">
        <v>19811280</v>
      </c>
      <c r="G336" s="1914">
        <v>101546.98</v>
      </c>
      <c r="H336" s="1914">
        <f t="shared" ref="H336:H338" si="90">+F330-F336</f>
        <v>566040</v>
      </c>
    </row>
    <row r="337" spans="1:10" ht="12.75">
      <c r="A337" t="s">
        <v>2249</v>
      </c>
      <c r="B337" t="s">
        <v>2626</v>
      </c>
      <c r="C337" s="2916" t="s">
        <v>2845</v>
      </c>
      <c r="D337" s="2916" t="s">
        <v>2846</v>
      </c>
      <c r="E337" t="s">
        <v>2594</v>
      </c>
      <c r="F337" s="1914">
        <v>12202030.949999999</v>
      </c>
      <c r="G337" s="1914">
        <v>46934.86</v>
      </c>
      <c r="H337" s="1914">
        <f t="shared" si="90"/>
        <v>51924</v>
      </c>
      <c r="J337" s="1913">
        <f>+G337/F337</f>
        <v>3.846479343670244E-3</v>
      </c>
    </row>
    <row r="338" spans="1:10" ht="12.75">
      <c r="A338" s="22" t="s">
        <v>2252</v>
      </c>
      <c r="B338" s="22" t="s">
        <v>2627</v>
      </c>
      <c r="C338" s="3014" t="s">
        <v>2847</v>
      </c>
      <c r="D338" s="3014" t="s">
        <v>2848</v>
      </c>
      <c r="E338" t="s">
        <v>2630</v>
      </c>
      <c r="F338" s="1914">
        <v>13349143.380000001</v>
      </c>
      <c r="G338" s="1914">
        <v>54629.24</v>
      </c>
      <c r="H338" s="1914">
        <f t="shared" si="90"/>
        <v>56804.86999999918</v>
      </c>
    </row>
    <row r="339" spans="1:10" ht="12.75">
      <c r="A339" s="1457" t="s">
        <v>2631</v>
      </c>
      <c r="B339" s="1457" t="s">
        <v>2632</v>
      </c>
      <c r="C339" s="3007" t="s">
        <v>2849</v>
      </c>
      <c r="D339" s="3007" t="s">
        <v>2850</v>
      </c>
      <c r="E339" s="1457" t="s">
        <v>2660</v>
      </c>
      <c r="F339" s="1914">
        <v>14440276.869999999</v>
      </c>
      <c r="G339" s="1914">
        <v>31741.200000000001</v>
      </c>
      <c r="J339" s="1913">
        <f>+G339/F339</f>
        <v>2.1981018983052228E-3</v>
      </c>
    </row>
    <row r="340" spans="1:10" ht="12.75">
      <c r="A340" s="1228" t="s">
        <v>2851</v>
      </c>
      <c r="B340" s="1228"/>
      <c r="C340" s="2917" t="s">
        <v>2852</v>
      </c>
      <c r="D340" s="1229" t="s">
        <v>2853</v>
      </c>
      <c r="E340"/>
      <c r="F340" s="1918">
        <f>SUM(F335:F339)</f>
        <v>118665238.2</v>
      </c>
      <c r="G340" s="1918">
        <f t="shared" ref="G340:H340" si="91">SUM(G335:G339)</f>
        <v>279319.06</v>
      </c>
      <c r="H340" s="1918">
        <f t="shared" si="91"/>
        <v>1101309.8699999992</v>
      </c>
    </row>
    <row r="341" spans="1:10" ht="12.75">
      <c r="A341" s="3070" t="s">
        <v>1246</v>
      </c>
      <c r="B341" s="3070" t="s">
        <v>2620</v>
      </c>
      <c r="C341" s="3071" t="s">
        <v>2861</v>
      </c>
      <c r="D341" s="3072" t="s">
        <v>2862</v>
      </c>
      <c r="E341" t="s">
        <v>1349</v>
      </c>
      <c r="F341" s="1914">
        <v>58435966</v>
      </c>
      <c r="G341" s="1914">
        <v>45618.45</v>
      </c>
      <c r="H341" s="1914">
        <f t="shared" ref="H341:H344" si="92">+F335-F341</f>
        <v>426541</v>
      </c>
      <c r="J341" s="1913">
        <f>+G339*3</f>
        <v>95223.6</v>
      </c>
    </row>
    <row r="342" spans="1:10" ht="12.75">
      <c r="A342" s="3073" t="s">
        <v>1372</v>
      </c>
      <c r="B342" s="3074" t="s">
        <v>2623</v>
      </c>
      <c r="C342" s="3075" t="s">
        <v>2843</v>
      </c>
      <c r="D342" s="3076" t="s">
        <v>804</v>
      </c>
      <c r="E342" t="s">
        <v>1242</v>
      </c>
      <c r="F342" s="1914">
        <v>19811280</v>
      </c>
      <c r="G342" s="1914">
        <v>0</v>
      </c>
      <c r="H342" s="1914">
        <f t="shared" si="92"/>
        <v>0</v>
      </c>
      <c r="J342" s="1914">
        <f>+J341+G339+G333</f>
        <v>147902.18</v>
      </c>
    </row>
    <row r="343" spans="1:10" ht="12.75">
      <c r="A343" t="s">
        <v>2249</v>
      </c>
      <c r="B343" t="s">
        <v>2626</v>
      </c>
      <c r="C343" s="2916" t="s">
        <v>2863</v>
      </c>
      <c r="D343" s="3077" t="s">
        <v>2864</v>
      </c>
      <c r="E343" t="s">
        <v>2594</v>
      </c>
      <c r="F343" s="1914">
        <v>12150106.949999999</v>
      </c>
      <c r="G343" s="1914">
        <v>48380.72</v>
      </c>
      <c r="H343" s="1914">
        <f t="shared" si="92"/>
        <v>51924</v>
      </c>
    </row>
    <row r="344" spans="1:10" ht="12.75">
      <c r="A344" s="3073" t="s">
        <v>2252</v>
      </c>
      <c r="B344" s="3074" t="s">
        <v>2627</v>
      </c>
      <c r="C344" s="3075" t="s">
        <v>2865</v>
      </c>
      <c r="D344" s="3076" t="s">
        <v>2866</v>
      </c>
      <c r="E344" t="s">
        <v>2630</v>
      </c>
      <c r="F344" s="1914">
        <v>13292338.51</v>
      </c>
      <c r="G344" s="1914">
        <v>56211.02</v>
      </c>
      <c r="H344" s="1914">
        <f t="shared" si="92"/>
        <v>56804.870000001043</v>
      </c>
    </row>
    <row r="345" spans="1:10" ht="12.75">
      <c r="A345" s="3078" t="s">
        <v>2631</v>
      </c>
      <c r="B345" s="3078" t="s">
        <v>2632</v>
      </c>
      <c r="C345" s="3079" t="s">
        <v>2867</v>
      </c>
      <c r="D345" s="3080" t="s">
        <v>2868</v>
      </c>
      <c r="E345" s="1457" t="s">
        <v>2660</v>
      </c>
      <c r="F345" s="1914">
        <v>17981219.73</v>
      </c>
      <c r="G345" s="1914">
        <v>46255.75</v>
      </c>
    </row>
    <row r="346" spans="1:10" ht="12.75">
      <c r="A346" s="1228" t="s">
        <v>2869</v>
      </c>
      <c r="B346" s="1228"/>
      <c r="C346" s="2917" t="s">
        <v>2870</v>
      </c>
      <c r="D346" s="1229" t="s">
        <v>2871</v>
      </c>
      <c r="E346"/>
      <c r="F346" s="1918">
        <f>SUM(F341:F345)</f>
        <v>121670911.19000001</v>
      </c>
      <c r="G346" s="1918">
        <f t="shared" ref="G346:H346" si="93">SUM(G341:G345)</f>
        <v>196465.94</v>
      </c>
      <c r="H346" s="1918">
        <f t="shared" si="93"/>
        <v>535269.87000000104</v>
      </c>
    </row>
    <row r="355" spans="6:9">
      <c r="G355" s="1914">
        <f>+G337+G331+G325+G319+G313+G307+G301+G295+G289</f>
        <v>497946.75</v>
      </c>
    </row>
    <row r="356" spans="6:9">
      <c r="F356" s="1914">
        <f>+F337-I356</f>
        <v>12147106.949999999</v>
      </c>
      <c r="G356" s="1914">
        <f>+F356*0.003846479</f>
        <v>46723.591793929045</v>
      </c>
      <c r="I356" s="1913">
        <v>54924</v>
      </c>
    </row>
    <row r="357" spans="6:9">
      <c r="F357" s="1914">
        <f>+F356-I356</f>
        <v>12092182.949999999</v>
      </c>
      <c r="G357" s="1914">
        <f t="shared" ref="G357:G358" si="94">+F357*0.003846479</f>
        <v>46512.327781333042</v>
      </c>
      <c r="I357" s="1913">
        <v>54924</v>
      </c>
    </row>
    <row r="358" spans="6:9">
      <c r="F358" s="1914">
        <f t="shared" ref="F358:F360" si="95">+F357-I357</f>
        <v>12037258.949999999</v>
      </c>
      <c r="G358" s="1914">
        <f t="shared" si="94"/>
        <v>46301.063768737047</v>
      </c>
      <c r="I358" s="1913">
        <v>54924</v>
      </c>
    </row>
    <row r="359" spans="6:9">
      <c r="F359" s="1914">
        <f t="shared" si="95"/>
        <v>11982334.949999999</v>
      </c>
      <c r="I359" s="1913">
        <v>54924</v>
      </c>
    </row>
    <row r="360" spans="6:9">
      <c r="F360" s="1914">
        <f t="shared" si="95"/>
        <v>11927410.949999999</v>
      </c>
      <c r="I360" s="1913">
        <v>54924</v>
      </c>
    </row>
    <row r="361" spans="6:9">
      <c r="G361" s="1914">
        <f>+G358+G357+G356+G355</f>
        <v>637483.73334399913</v>
      </c>
      <c r="I361" s="1913">
        <v>54924</v>
      </c>
    </row>
    <row r="362" spans="6:9">
      <c r="I362" s="1913">
        <v>54924</v>
      </c>
    </row>
    <row r="363" spans="6:9">
      <c r="G363" s="1914">
        <f>+G333+G339*4</f>
        <v>147902.18</v>
      </c>
      <c r="I363" s="1913">
        <v>54924</v>
      </c>
    </row>
    <row r="364" spans="6:9">
      <c r="I364" s="1913">
        <v>54924</v>
      </c>
    </row>
  </sheetData>
  <sheetProtection algorithmName="SHA-512" hashValue="+RYIGzuptHKsOeuhnBJh8XkWHg7Nt1S6UQBDcX70XPsk7lhr3BFBCbpTN7aZlHawOfJHFEo5Wf8hcvTNsV16Nw==" saltValue="3I1igXiYaGBLlH24gtaYLA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214" zoomScale="85" zoomScaleNormal="85" workbookViewId="0">
      <selection activeCell="E217" sqref="E217"/>
    </sheetView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06" bestFit="1" customWidth="1"/>
    <col min="10" max="10" width="13.265625" style="1406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02"/>
      <c r="I1" s="1402"/>
      <c r="J1" s="1402"/>
    </row>
    <row r="2" spans="1:10">
      <c r="A2" s="1441" t="s">
        <v>1799</v>
      </c>
      <c r="B2" s="1441"/>
      <c r="C2" s="1442"/>
      <c r="D2" s="1443"/>
      <c r="E2" s="1444"/>
      <c r="F2" s="1445"/>
      <c r="G2" s="1446"/>
      <c r="H2" s="1447"/>
      <c r="I2" s="1447"/>
      <c r="J2" s="1447"/>
    </row>
    <row r="3" spans="1:10" ht="16.149999999999999" thickBot="1">
      <c r="A3" s="1448"/>
      <c r="B3" s="1448"/>
      <c r="C3" s="1442"/>
      <c r="D3" s="1449"/>
      <c r="E3" s="1444"/>
      <c r="F3" s="1454"/>
      <c r="G3" s="1455"/>
      <c r="H3" s="1447"/>
      <c r="I3" s="1447"/>
      <c r="J3" s="1447"/>
    </row>
    <row r="4" spans="1:10" ht="27.4" thickBot="1">
      <c r="A4" s="277" t="s">
        <v>220</v>
      </c>
      <c r="B4" s="278"/>
      <c r="C4" s="1519" t="s">
        <v>63</v>
      </c>
      <c r="D4" s="1523" t="s">
        <v>2106</v>
      </c>
      <c r="E4" s="1896" t="s">
        <v>1150</v>
      </c>
      <c r="F4" s="1897" t="s">
        <v>1151</v>
      </c>
      <c r="G4" s="1898" t="s">
        <v>1800</v>
      </c>
      <c r="H4" s="1897" t="s">
        <v>1801</v>
      </c>
      <c r="I4" s="1899" t="s">
        <v>2313</v>
      </c>
      <c r="J4" s="1453"/>
    </row>
    <row r="5" spans="1:10" ht="12" customHeight="1" thickBot="1">
      <c r="A5" s="109"/>
      <c r="B5" s="109"/>
      <c r="C5" s="114"/>
      <c r="D5" s="1524"/>
      <c r="E5" s="820"/>
      <c r="F5" s="279"/>
      <c r="G5" s="819"/>
      <c r="H5" s="1403"/>
      <c r="I5" s="1525"/>
      <c r="J5" s="289"/>
    </row>
    <row r="6" spans="1:10" s="281" customFormat="1" ht="15" customHeight="1" thickBot="1">
      <c r="A6" s="1412" t="s">
        <v>221</v>
      </c>
      <c r="B6" s="1413" t="s">
        <v>222</v>
      </c>
      <c r="C6" s="1414"/>
      <c r="D6" s="1526" t="e">
        <f>SUM(D7:D26)</f>
        <v>#REF!</v>
      </c>
      <c r="E6" s="1415" t="e">
        <f t="shared" ref="E6:I6" si="0">SUM(E7:E26)</f>
        <v>#REF!</v>
      </c>
      <c r="F6" s="1415" t="e">
        <f t="shared" si="0"/>
        <v>#REF!</v>
      </c>
      <c r="G6" s="1415" t="e">
        <f t="shared" si="0"/>
        <v>#REF!</v>
      </c>
      <c r="H6" s="1415" t="e">
        <f t="shared" si="0"/>
        <v>#REF!</v>
      </c>
      <c r="I6" s="1415" t="e">
        <f t="shared" si="0"/>
        <v>#REF!</v>
      </c>
      <c r="J6" s="298"/>
    </row>
    <row r="7" spans="1:10" s="286" customFormat="1" ht="18" customHeight="1" outlineLevel="1" thickTop="1">
      <c r="A7" s="879"/>
      <c r="B7" s="1100" t="s">
        <v>3008</v>
      </c>
      <c r="C7" s="1900">
        <v>1111</v>
      </c>
      <c r="D7" s="1527">
        <f>+'Souhrn příjmů a výdajů 2025'!L7/1000</f>
        <v>27500</v>
      </c>
      <c r="E7" s="830">
        <f>+D7*1.01</f>
        <v>27775</v>
      </c>
      <c r="F7" s="830">
        <f>+E7*1.01</f>
        <v>28052.75</v>
      </c>
      <c r="G7" s="830">
        <f>+F7*1.03</f>
        <v>28894.3325</v>
      </c>
      <c r="H7" s="830">
        <f>+G7*1.03</f>
        <v>29761.162475000001</v>
      </c>
      <c r="I7" s="830">
        <f>+H7*1.035</f>
        <v>30802.803161624997</v>
      </c>
      <c r="J7" s="289"/>
    </row>
    <row r="8" spans="1:10" s="286" customFormat="1" ht="18" customHeight="1" outlineLevel="1">
      <c r="A8" s="879"/>
      <c r="B8" s="1095" t="s">
        <v>1144</v>
      </c>
      <c r="C8" s="1901">
        <v>1112</v>
      </c>
      <c r="D8" s="1528">
        <f>+'Souhrn příjmů a výdajů 2025'!L8/1000</f>
        <v>2700</v>
      </c>
      <c r="E8" s="434">
        <f t="shared" ref="E8:E12" si="1">+D8</f>
        <v>2700</v>
      </c>
      <c r="F8" s="434">
        <f t="shared" ref="F8:F19" si="2">+E8*1.01</f>
        <v>2727</v>
      </c>
      <c r="G8" s="434">
        <f t="shared" ref="G8:H8" si="3">+F8*1.03</f>
        <v>2808.81</v>
      </c>
      <c r="H8" s="434">
        <f t="shared" si="3"/>
        <v>2893.0743000000002</v>
      </c>
      <c r="I8" s="434">
        <f t="shared" ref="I8:I12" si="4">+H8*1.035</f>
        <v>2994.3319004999998</v>
      </c>
      <c r="J8" s="289"/>
    </row>
    <row r="9" spans="1:10" s="286" customFormat="1" ht="18" customHeight="1" outlineLevel="1">
      <c r="A9" s="879"/>
      <c r="B9" s="1095" t="s">
        <v>3009</v>
      </c>
      <c r="C9" s="1901">
        <v>1112</v>
      </c>
      <c r="D9" s="1528">
        <f>+'Souhrn příjmů a výdajů 2025'!L10/1000</f>
        <v>1200</v>
      </c>
      <c r="E9" s="434">
        <f t="shared" si="1"/>
        <v>1200</v>
      </c>
      <c r="F9" s="434">
        <f t="shared" si="2"/>
        <v>1212</v>
      </c>
      <c r="G9" s="434">
        <f t="shared" ref="G9:H9" si="5">+F9*1.03</f>
        <v>1248.3600000000001</v>
      </c>
      <c r="H9" s="434">
        <f t="shared" si="5"/>
        <v>1285.8108000000002</v>
      </c>
      <c r="I9" s="434">
        <f t="shared" si="4"/>
        <v>1330.8141780000001</v>
      </c>
      <c r="J9" s="289"/>
    </row>
    <row r="10" spans="1:10" s="286" customFormat="1" ht="18" customHeight="1" outlineLevel="1">
      <c r="A10" s="879"/>
      <c r="B10" s="1095" t="s">
        <v>3010</v>
      </c>
      <c r="C10" s="1901">
        <v>1113</v>
      </c>
      <c r="D10" s="1528">
        <f>+'Souhrn příjmů a výdajů 2025'!L9/1000</f>
        <v>5460</v>
      </c>
      <c r="E10" s="434">
        <f t="shared" si="1"/>
        <v>5460</v>
      </c>
      <c r="F10" s="434">
        <f t="shared" si="2"/>
        <v>5514.6</v>
      </c>
      <c r="G10" s="434">
        <f t="shared" ref="G10:H10" si="6">+F10*1.03</f>
        <v>5680.0380000000005</v>
      </c>
      <c r="H10" s="434">
        <f t="shared" si="6"/>
        <v>5850.4391400000004</v>
      </c>
      <c r="I10" s="434">
        <f t="shared" si="4"/>
        <v>6055.2045098999997</v>
      </c>
      <c r="J10" s="289"/>
    </row>
    <row r="11" spans="1:10" s="286" customFormat="1" ht="18" customHeight="1" outlineLevel="1">
      <c r="A11" s="879"/>
      <c r="B11" s="1095" t="s">
        <v>15</v>
      </c>
      <c r="C11" s="1901">
        <v>1121</v>
      </c>
      <c r="D11" s="1528">
        <f>+'Souhrn příjmů a výdajů 2025'!L12/1000</f>
        <v>41300</v>
      </c>
      <c r="E11" s="434">
        <f t="shared" si="1"/>
        <v>41300</v>
      </c>
      <c r="F11" s="434">
        <f t="shared" si="2"/>
        <v>41713</v>
      </c>
      <c r="G11" s="434">
        <f t="shared" ref="G11:H11" si="7">+F11*1.03</f>
        <v>42964.39</v>
      </c>
      <c r="H11" s="434">
        <f t="shared" si="7"/>
        <v>44253.3217</v>
      </c>
      <c r="I11" s="434">
        <f t="shared" si="4"/>
        <v>45802.187959499999</v>
      </c>
      <c r="J11" s="289"/>
    </row>
    <row r="12" spans="1:10" s="286" customFormat="1" ht="18" customHeight="1" outlineLevel="1">
      <c r="A12" s="879"/>
      <c r="B12" s="1095" t="s">
        <v>3011</v>
      </c>
      <c r="C12" s="1901">
        <v>1122</v>
      </c>
      <c r="D12" s="1528" t="e">
        <f>+'Souhrn příjmů a výdajů 2025'!#REF!/1000</f>
        <v>#REF!</v>
      </c>
      <c r="E12" s="434" t="e">
        <f t="shared" si="1"/>
        <v>#REF!</v>
      </c>
      <c r="F12" s="434" t="e">
        <f>+E12</f>
        <v>#REF!</v>
      </c>
      <c r="G12" s="434" t="e">
        <f>+F12*1.001</f>
        <v>#REF!</v>
      </c>
      <c r="H12" s="434" t="e">
        <f>+G12*1.001</f>
        <v>#REF!</v>
      </c>
      <c r="I12" s="434" t="e">
        <f t="shared" si="4"/>
        <v>#REF!</v>
      </c>
      <c r="J12" s="289"/>
    </row>
    <row r="13" spans="1:10" ht="18" customHeight="1" outlineLevel="1">
      <c r="A13" s="880"/>
      <c r="B13" s="1450" t="s">
        <v>16</v>
      </c>
      <c r="C13" s="1902">
        <v>1211</v>
      </c>
      <c r="D13" s="1529">
        <f>+'Souhrn příjmů a výdajů 2025'!L13/1000</f>
        <v>77200</v>
      </c>
      <c r="E13" s="1451">
        <f t="shared" ref="E13:E19" si="8">+D13</f>
        <v>77200</v>
      </c>
      <c r="F13" s="1451">
        <f t="shared" si="2"/>
        <v>77972</v>
      </c>
      <c r="G13" s="1451">
        <f t="shared" ref="G13:I19" si="9">+F13*1.03</f>
        <v>80311.16</v>
      </c>
      <c r="H13" s="1451">
        <f t="shared" si="9"/>
        <v>82720.4948</v>
      </c>
      <c r="I13" s="1451">
        <f t="shared" si="9"/>
        <v>85202.109643999996</v>
      </c>
      <c r="J13" s="289"/>
    </row>
    <row r="14" spans="1:10" s="290" customFormat="1" ht="18" customHeight="1" outlineLevel="1">
      <c r="A14" s="881"/>
      <c r="B14" s="1450" t="s">
        <v>1932</v>
      </c>
      <c r="C14" s="1902" t="s">
        <v>17</v>
      </c>
      <c r="D14" s="1529">
        <f>+'Souhrn příjmů a výdajů 2025'!L14/1000</f>
        <v>89</v>
      </c>
      <c r="E14" s="1451">
        <f t="shared" si="8"/>
        <v>89</v>
      </c>
      <c r="F14" s="1451">
        <f t="shared" ref="F14:I16" si="10">+E14</f>
        <v>89</v>
      </c>
      <c r="G14" s="1451">
        <f t="shared" si="10"/>
        <v>89</v>
      </c>
      <c r="H14" s="1451">
        <f t="shared" si="10"/>
        <v>89</v>
      </c>
      <c r="I14" s="1451">
        <f t="shared" si="10"/>
        <v>89</v>
      </c>
      <c r="J14" s="289"/>
    </row>
    <row r="15" spans="1:10" ht="18" customHeight="1" outlineLevel="1">
      <c r="A15" s="880"/>
      <c r="B15" s="1450" t="s">
        <v>20</v>
      </c>
      <c r="C15" s="1902" t="s">
        <v>19</v>
      </c>
      <c r="D15" s="1529">
        <f>+'Souhrn příjmů a výdajů 2025'!L15/1000</f>
        <v>7559</v>
      </c>
      <c r="E15" s="1451">
        <f t="shared" si="8"/>
        <v>7559</v>
      </c>
      <c r="F15" s="1451">
        <f t="shared" si="10"/>
        <v>7559</v>
      </c>
      <c r="G15" s="1451">
        <f t="shared" si="10"/>
        <v>7559</v>
      </c>
      <c r="H15" s="1451">
        <f t="shared" si="10"/>
        <v>7559</v>
      </c>
      <c r="I15" s="1451">
        <f t="shared" si="10"/>
        <v>7559</v>
      </c>
      <c r="J15" s="289"/>
    </row>
    <row r="16" spans="1:10" ht="18" customHeight="1" outlineLevel="1">
      <c r="A16" s="880"/>
      <c r="B16" s="1450" t="s">
        <v>21</v>
      </c>
      <c r="C16" s="1902">
        <v>1341</v>
      </c>
      <c r="D16" s="1529">
        <f>+'Souhrn příjmů a výdajů 2025'!L16/1000</f>
        <v>389</v>
      </c>
      <c r="E16" s="1451">
        <f t="shared" si="8"/>
        <v>389</v>
      </c>
      <c r="F16" s="1451">
        <f t="shared" si="10"/>
        <v>389</v>
      </c>
      <c r="G16" s="1451">
        <f t="shared" si="10"/>
        <v>389</v>
      </c>
      <c r="H16" s="1451">
        <f t="shared" si="10"/>
        <v>389</v>
      </c>
      <c r="I16" s="1451">
        <f t="shared" si="10"/>
        <v>389</v>
      </c>
      <c r="J16" s="289"/>
    </row>
    <row r="17" spans="1:10" ht="18" customHeight="1" outlineLevel="1">
      <c r="A17" s="880"/>
      <c r="B17" s="1450" t="s">
        <v>22</v>
      </c>
      <c r="C17" s="1902">
        <v>1343</v>
      </c>
      <c r="D17" s="1529">
        <f>+'Souhrn příjmů a výdajů 2025'!L18/1000</f>
        <v>92.5</v>
      </c>
      <c r="E17" s="1451">
        <f t="shared" si="8"/>
        <v>92.5</v>
      </c>
      <c r="F17" s="1451">
        <f t="shared" si="2"/>
        <v>93.424999999999997</v>
      </c>
      <c r="G17" s="1451">
        <f t="shared" si="9"/>
        <v>96.22775</v>
      </c>
      <c r="H17" s="1451">
        <f t="shared" si="9"/>
        <v>99.114582499999997</v>
      </c>
      <c r="I17" s="1451">
        <f t="shared" si="9"/>
        <v>102.08801997499999</v>
      </c>
      <c r="J17" s="289"/>
    </row>
    <row r="18" spans="1:10" ht="18" customHeight="1" outlineLevel="1">
      <c r="A18" s="880"/>
      <c r="B18" s="1450" t="s">
        <v>23</v>
      </c>
      <c r="C18" s="1902">
        <v>1344</v>
      </c>
      <c r="D18" s="1529">
        <f>+'Souhrn příjmů a výdajů 2025'!L19/1000</f>
        <v>0</v>
      </c>
      <c r="E18" s="1451">
        <f t="shared" si="8"/>
        <v>0</v>
      </c>
      <c r="F18" s="1451">
        <f t="shared" si="2"/>
        <v>0</v>
      </c>
      <c r="G18" s="1451">
        <f t="shared" si="9"/>
        <v>0</v>
      </c>
      <c r="H18" s="1451">
        <f t="shared" si="9"/>
        <v>0</v>
      </c>
      <c r="I18" s="1451">
        <f t="shared" si="9"/>
        <v>0</v>
      </c>
      <c r="J18" s="289"/>
    </row>
    <row r="19" spans="1:10" ht="18" customHeight="1" outlineLevel="1">
      <c r="A19" s="880"/>
      <c r="B19" s="1450" t="s">
        <v>24</v>
      </c>
      <c r="C19" s="1902">
        <v>1345</v>
      </c>
      <c r="D19" s="1529">
        <f>+'Souhrn příjmů a výdajů 2025'!L20/1000</f>
        <v>0</v>
      </c>
      <c r="E19" s="1451">
        <f t="shared" si="8"/>
        <v>0</v>
      </c>
      <c r="F19" s="1451">
        <f t="shared" si="2"/>
        <v>0</v>
      </c>
      <c r="G19" s="1451">
        <f t="shared" si="9"/>
        <v>0</v>
      </c>
      <c r="H19" s="1451">
        <f t="shared" si="9"/>
        <v>0</v>
      </c>
      <c r="I19" s="1451">
        <f t="shared" si="9"/>
        <v>0</v>
      </c>
      <c r="J19" s="289"/>
    </row>
    <row r="20" spans="1:10" ht="18" customHeight="1" outlineLevel="1">
      <c r="A20" s="880"/>
      <c r="B20" s="1450" t="s">
        <v>25</v>
      </c>
      <c r="C20" s="1902">
        <v>1347</v>
      </c>
      <c r="D20" s="1529">
        <f>+'Souhrn příjmů a výdajů 2025'!L21/1000</f>
        <v>0</v>
      </c>
      <c r="E20" s="1451"/>
      <c r="F20" s="1451"/>
      <c r="G20" s="1451"/>
      <c r="H20" s="1451"/>
      <c r="I20" s="1451"/>
      <c r="J20" s="289"/>
    </row>
    <row r="21" spans="1:10" s="290" customFormat="1" outlineLevel="1">
      <c r="A21" s="881"/>
      <c r="B21" s="1452" t="s">
        <v>27</v>
      </c>
      <c r="C21" s="1902" t="s">
        <v>26</v>
      </c>
      <c r="D21" s="1529">
        <f>+'Souhrn příjmů a výdajů 2025'!L22/1000</f>
        <v>4120</v>
      </c>
      <c r="E21" s="1451"/>
      <c r="F21" s="1451"/>
      <c r="G21" s="1451"/>
      <c r="H21" s="1451"/>
      <c r="I21" s="1451"/>
      <c r="J21" s="289"/>
    </row>
    <row r="22" spans="1:10" ht="18" customHeight="1" outlineLevel="1">
      <c r="A22" s="880"/>
      <c r="B22" s="1450" t="s">
        <v>480</v>
      </c>
      <c r="C22" s="1902" t="s">
        <v>26</v>
      </c>
      <c r="D22" s="1529">
        <f>+'Souhrn příjmů a výdajů 2025'!L23/1000</f>
        <v>13050</v>
      </c>
      <c r="E22" s="1451">
        <v>0</v>
      </c>
      <c r="F22" s="1451">
        <f>+E22</f>
        <v>0</v>
      </c>
      <c r="G22" s="1451">
        <f t="shared" ref="G22:I22" si="11">+F22</f>
        <v>0</v>
      </c>
      <c r="H22" s="1451">
        <f t="shared" si="11"/>
        <v>0</v>
      </c>
      <c r="I22" s="1451">
        <f t="shared" si="11"/>
        <v>0</v>
      </c>
      <c r="J22" s="289"/>
    </row>
    <row r="23" spans="1:10" ht="18" customHeight="1" outlineLevel="1">
      <c r="A23" s="880"/>
      <c r="B23" s="1450" t="s">
        <v>30</v>
      </c>
      <c r="C23" s="1902" t="s">
        <v>29</v>
      </c>
      <c r="D23" s="1529">
        <f>+'Souhrn příjmů a výdajů 2025'!L26/1000</f>
        <v>1200</v>
      </c>
      <c r="E23" s="1451">
        <f>+D23</f>
        <v>1200</v>
      </c>
      <c r="F23" s="1451">
        <f t="shared" ref="F23:I26" si="12">+E23</f>
        <v>1200</v>
      </c>
      <c r="G23" s="1451">
        <f t="shared" si="12"/>
        <v>1200</v>
      </c>
      <c r="H23" s="1451">
        <f t="shared" si="12"/>
        <v>1200</v>
      </c>
      <c r="I23" s="1451">
        <f t="shared" si="12"/>
        <v>1200</v>
      </c>
      <c r="J23" s="289"/>
    </row>
    <row r="24" spans="1:10" ht="18" customHeight="1" outlineLevel="1">
      <c r="A24" s="880"/>
      <c r="B24" s="1450" t="s">
        <v>28</v>
      </c>
      <c r="C24" s="1902">
        <v>1381</v>
      </c>
      <c r="D24" s="1529" t="e">
        <f>+'Souhrn příjmů a výdajů 2025'!#REF!/1000</f>
        <v>#REF!</v>
      </c>
      <c r="E24" s="1451" t="e">
        <f>+D24</f>
        <v>#REF!</v>
      </c>
      <c r="F24" s="1451" t="e">
        <f t="shared" si="12"/>
        <v>#REF!</v>
      </c>
      <c r="G24" s="1451" t="e">
        <f t="shared" si="12"/>
        <v>#REF!</v>
      </c>
      <c r="H24" s="1451" t="e">
        <f t="shared" si="12"/>
        <v>#REF!</v>
      </c>
      <c r="I24" s="1451" t="e">
        <f t="shared" si="12"/>
        <v>#REF!</v>
      </c>
      <c r="J24" s="289"/>
    </row>
    <row r="25" spans="1:10" s="290" customFormat="1" ht="18" customHeight="1" outlineLevel="1">
      <c r="A25" s="881"/>
      <c r="B25" s="1095" t="s">
        <v>482</v>
      </c>
      <c r="C25" s="1902">
        <v>1385</v>
      </c>
      <c r="D25" s="1528" t="e">
        <f>+'Souhrn příjmů a výdajů 2025'!#REF!/1000</f>
        <v>#REF!</v>
      </c>
      <c r="E25" s="434" t="e">
        <f>+D25</f>
        <v>#REF!</v>
      </c>
      <c r="F25" s="434" t="e">
        <f t="shared" si="12"/>
        <v>#REF!</v>
      </c>
      <c r="G25" s="434" t="e">
        <f t="shared" si="12"/>
        <v>#REF!</v>
      </c>
      <c r="H25" s="434" t="e">
        <f t="shared" si="12"/>
        <v>#REF!</v>
      </c>
      <c r="I25" s="434" t="e">
        <f t="shared" si="12"/>
        <v>#REF!</v>
      </c>
      <c r="J25" s="289"/>
    </row>
    <row r="26" spans="1:10" ht="13.5" customHeight="1">
      <c r="A26" s="880"/>
      <c r="B26" s="1450" t="s">
        <v>31</v>
      </c>
      <c r="C26" s="1902">
        <v>1511</v>
      </c>
      <c r="D26" s="832">
        <f>+'Souhrn příjmů a výdajů 2025'!L27/1000</f>
        <v>14190</v>
      </c>
      <c r="E26" s="1090">
        <f>+D26</f>
        <v>14190</v>
      </c>
      <c r="F26" s="1090">
        <f t="shared" si="12"/>
        <v>14190</v>
      </c>
      <c r="G26" s="1090">
        <f t="shared" si="12"/>
        <v>14190</v>
      </c>
      <c r="H26" s="1090">
        <f t="shared" si="12"/>
        <v>14190</v>
      </c>
      <c r="I26" s="1090">
        <f t="shared" si="12"/>
        <v>14190</v>
      </c>
      <c r="J26" s="289"/>
    </row>
    <row r="27" spans="1:10" s="281" customFormat="1" ht="16.5" thickBot="1">
      <c r="A27" s="1416" t="s">
        <v>223</v>
      </c>
      <c r="B27" s="1417" t="s">
        <v>224</v>
      </c>
      <c r="C27" s="1418"/>
      <c r="D27" s="1530" t="e">
        <f>SUM(D28:D72)</f>
        <v>#REF!</v>
      </c>
      <c r="E27" s="1419">
        <f t="shared" ref="E27:I27" si="13">SUM(E28:E72)</f>
        <v>28504.613000000001</v>
      </c>
      <c r="F27" s="1419">
        <f t="shared" si="13"/>
        <v>28484.113000000001</v>
      </c>
      <c r="G27" s="1419">
        <f t="shared" si="13"/>
        <v>28484.113000000001</v>
      </c>
      <c r="H27" s="1419">
        <f t="shared" si="13"/>
        <v>28484.113000000001</v>
      </c>
      <c r="I27" s="1419">
        <f t="shared" si="13"/>
        <v>28484.113000000001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2025'!L31/1000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1523</v>
      </c>
      <c r="C29" s="608">
        <v>2111</v>
      </c>
      <c r="D29" s="831">
        <f>+'Souhrn příjmů a výdajů 2025'!L32/1000</f>
        <v>26.2</v>
      </c>
      <c r="E29" s="212">
        <f>+D29</f>
        <v>26.2</v>
      </c>
      <c r="F29" s="212">
        <f t="shared" ref="F29:I29" si="14">+E29</f>
        <v>26.2</v>
      </c>
      <c r="G29" s="212">
        <f t="shared" si="14"/>
        <v>26.2</v>
      </c>
      <c r="H29" s="212">
        <f t="shared" si="14"/>
        <v>26.2</v>
      </c>
      <c r="I29" s="212">
        <f t="shared" si="14"/>
        <v>26.2</v>
      </c>
      <c r="J29" s="289"/>
    </row>
    <row r="30" spans="1:10" ht="17.25" customHeight="1" outlineLevel="1">
      <c r="A30" s="880"/>
      <c r="B30" s="1091" t="s">
        <v>1524</v>
      </c>
      <c r="C30" s="608">
        <v>2322</v>
      </c>
      <c r="D30" s="831">
        <f>+'Souhrn příjmů a výdajů 2025'!L33/1000</f>
        <v>47</v>
      </c>
      <c r="E30" s="212">
        <f>+D30</f>
        <v>47</v>
      </c>
      <c r="F30" s="212">
        <f t="shared" ref="F30:I32" si="15">+E30</f>
        <v>47</v>
      </c>
      <c r="G30" s="212">
        <f t="shared" si="15"/>
        <v>47</v>
      </c>
      <c r="H30" s="212">
        <f t="shared" si="15"/>
        <v>47</v>
      </c>
      <c r="I30" s="212">
        <f t="shared" si="15"/>
        <v>47</v>
      </c>
      <c r="J30" s="289"/>
    </row>
    <row r="31" spans="1:10" s="286" customFormat="1" ht="17.25" customHeight="1" outlineLevel="1">
      <c r="A31" s="879"/>
      <c r="B31" s="1095" t="s">
        <v>41</v>
      </c>
      <c r="C31" s="1901" t="s">
        <v>40</v>
      </c>
      <c r="D31" s="1528">
        <f>+'Souhrn příjmů a výdajů 2025'!L34/1000</f>
        <v>4406</v>
      </c>
      <c r="E31" s="434">
        <f>+D31</f>
        <v>4406</v>
      </c>
      <c r="F31" s="434">
        <f t="shared" si="15"/>
        <v>4406</v>
      </c>
      <c r="G31" s="434">
        <f t="shared" si="15"/>
        <v>4406</v>
      </c>
      <c r="H31" s="434">
        <f t="shared" si="15"/>
        <v>4406</v>
      </c>
      <c r="I31" s="434">
        <f t="shared" si="15"/>
        <v>4406</v>
      </c>
      <c r="J31" s="1518"/>
    </row>
    <row r="32" spans="1:10" s="286" customFormat="1" ht="17.25" customHeight="1" outlineLevel="1">
      <c r="A32" s="879"/>
      <c r="B32" s="1095" t="s">
        <v>43</v>
      </c>
      <c r="C32" s="1901" t="s">
        <v>40</v>
      </c>
      <c r="D32" s="1528">
        <f>+'Souhrn příjmů a výdajů 2025'!L35/1000</f>
        <v>7927</v>
      </c>
      <c r="E32" s="434">
        <f>+D32</f>
        <v>7927</v>
      </c>
      <c r="F32" s="434">
        <f t="shared" si="15"/>
        <v>7927</v>
      </c>
      <c r="G32" s="434">
        <f t="shared" si="15"/>
        <v>7927</v>
      </c>
      <c r="H32" s="434">
        <f t="shared" si="15"/>
        <v>7927</v>
      </c>
      <c r="I32" s="434">
        <f t="shared" si="15"/>
        <v>7927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2025'!L36/1000</f>
        <v>41</v>
      </c>
      <c r="E33" s="212">
        <f>+D33/2</f>
        <v>20.5</v>
      </c>
      <c r="F33" s="212"/>
      <c r="G33" s="212"/>
      <c r="H33" s="212"/>
      <c r="I33" s="212"/>
      <c r="J33" s="1911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2025'!L37/1000</f>
        <v>233</v>
      </c>
      <c r="E34" s="212">
        <f>+D34</f>
        <v>233</v>
      </c>
      <c r="F34" s="212">
        <f t="shared" ref="F34:I34" si="16">+E34</f>
        <v>233</v>
      </c>
      <c r="G34" s="212">
        <f t="shared" si="16"/>
        <v>233</v>
      </c>
      <c r="H34" s="212">
        <f t="shared" si="16"/>
        <v>233</v>
      </c>
      <c r="I34" s="212">
        <f t="shared" si="16"/>
        <v>233</v>
      </c>
      <c r="J34" s="1911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2025'!L40/1000</f>
        <v>109</v>
      </c>
      <c r="E35" s="212">
        <f>+D35</f>
        <v>109</v>
      </c>
      <c r="F35" s="212">
        <f t="shared" ref="F35:I35" si="17">+E35</f>
        <v>109</v>
      </c>
      <c r="G35" s="212">
        <f t="shared" si="17"/>
        <v>109</v>
      </c>
      <c r="H35" s="212">
        <f t="shared" si="17"/>
        <v>109</v>
      </c>
      <c r="I35" s="212">
        <f t="shared" si="17"/>
        <v>109</v>
      </c>
      <c r="J35" s="1911"/>
    </row>
    <row r="36" spans="1:10" ht="17.25" customHeight="1" outlineLevel="1">
      <c r="A36" s="880"/>
      <c r="B36" s="1091" t="s">
        <v>1525</v>
      </c>
      <c r="C36" s="608">
        <v>2321</v>
      </c>
      <c r="D36" s="831">
        <f>+'Souhrn příjmů a výdajů 2025'!L41/1000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1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2025'!L42/1000</f>
        <v>302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2025'!L43/1000</f>
        <v>133</v>
      </c>
      <c r="E38" s="212">
        <f>+D38</f>
        <v>133</v>
      </c>
      <c r="F38" s="212">
        <f t="shared" ref="F38:I38" si="19">+E38</f>
        <v>133</v>
      </c>
      <c r="G38" s="212">
        <f t="shared" si="19"/>
        <v>133</v>
      </c>
      <c r="H38" s="212">
        <f t="shared" si="19"/>
        <v>133</v>
      </c>
      <c r="I38" s="212">
        <f t="shared" si="19"/>
        <v>133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2025'!L44/1000</f>
        <v>448</v>
      </c>
      <c r="E39" s="212">
        <f>+D39</f>
        <v>448</v>
      </c>
      <c r="F39" s="212">
        <f t="shared" ref="F39:I39" si="20">+E39</f>
        <v>448</v>
      </c>
      <c r="G39" s="212">
        <f t="shared" si="20"/>
        <v>448</v>
      </c>
      <c r="H39" s="212">
        <f t="shared" si="20"/>
        <v>448</v>
      </c>
      <c r="I39" s="212">
        <f t="shared" si="20"/>
        <v>448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2025'!L46/1000</f>
        <v>1060</v>
      </c>
      <c r="E40" s="212">
        <f>+'Příjmy kapitol celkem'!U46/1000</f>
        <v>330.005</v>
      </c>
      <c r="F40" s="212">
        <f>+'Příjmy kapitol celkem'!V46/1000</f>
        <v>330.005</v>
      </c>
      <c r="G40" s="212">
        <f>+'Příjmy kapitol celkem'!W46/1000</f>
        <v>330.005</v>
      </c>
      <c r="H40" s="212">
        <f>+'Příjmy kapitol celkem'!X46/1000</f>
        <v>330.005</v>
      </c>
      <c r="I40" s="212">
        <f>+'Příjmy kapitol celkem'!Y46/1000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2025'!L47/1000</f>
        <v>2400</v>
      </c>
      <c r="E41" s="212">
        <f>+D41</f>
        <v>2400</v>
      </c>
      <c r="F41" s="212">
        <f t="shared" ref="F41:I41" si="21">+E41</f>
        <v>2400</v>
      </c>
      <c r="G41" s="212">
        <f t="shared" si="21"/>
        <v>2400</v>
      </c>
      <c r="H41" s="212">
        <f t="shared" si="21"/>
        <v>2400</v>
      </c>
      <c r="I41" s="212">
        <f t="shared" si="21"/>
        <v>2400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2025'!L48/1000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1526</v>
      </c>
      <c r="C43" s="608">
        <v>2322</v>
      </c>
      <c r="D43" s="831">
        <f>+'Souhrn příjmů a výdajů 2025'!L49/1000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1223</v>
      </c>
      <c r="C44" s="608">
        <v>3122</v>
      </c>
      <c r="D44" s="831">
        <f>+'Souhrn příjmů a výdajů 2025'!L50/1000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v>0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2025'!L53/1000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740</v>
      </c>
      <c r="C47" s="608">
        <v>2111</v>
      </c>
      <c r="D47" s="831">
        <f>+'Souhrn příjmů a výdajů 2025'!L54/1000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2025'!L57/1000</f>
        <v>648.81299999999999</v>
      </c>
      <c r="E48" s="212">
        <f t="shared" si="24"/>
        <v>648.81299999999999</v>
      </c>
      <c r="F48" s="212">
        <f t="shared" ref="F48:I48" si="27">+E48</f>
        <v>648.81299999999999</v>
      </c>
      <c r="G48" s="212">
        <f t="shared" si="27"/>
        <v>648.81299999999999</v>
      </c>
      <c r="H48" s="212">
        <f t="shared" si="27"/>
        <v>648.81299999999999</v>
      </c>
      <c r="I48" s="212">
        <f t="shared" si="27"/>
        <v>648.81299999999999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2025'!L59/1000</f>
        <v>1340</v>
      </c>
      <c r="E49" s="212">
        <f t="shared" si="24"/>
        <v>1340</v>
      </c>
      <c r="F49" s="212">
        <f t="shared" ref="F49:I49" si="28">+E49</f>
        <v>1340</v>
      </c>
      <c r="G49" s="212">
        <f t="shared" si="28"/>
        <v>1340</v>
      </c>
      <c r="H49" s="212">
        <f t="shared" si="28"/>
        <v>1340</v>
      </c>
      <c r="I49" s="212">
        <f t="shared" si="28"/>
        <v>1340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2025'!L62/1000</f>
        <v>403</v>
      </c>
      <c r="E50" s="212">
        <f t="shared" si="24"/>
        <v>403</v>
      </c>
      <c r="F50" s="212">
        <f t="shared" ref="F50:I50" si="29">+E50</f>
        <v>403</v>
      </c>
      <c r="G50" s="212">
        <f t="shared" si="29"/>
        <v>403</v>
      </c>
      <c r="H50" s="212">
        <f t="shared" si="29"/>
        <v>403</v>
      </c>
      <c r="I50" s="212">
        <f t="shared" si="29"/>
        <v>403</v>
      </c>
      <c r="J50" s="289"/>
    </row>
    <row r="51" spans="1:10" s="290" customFormat="1" ht="17.25" customHeight="1" outlineLevel="1">
      <c r="A51" s="881"/>
      <c r="B51" s="1450" t="s">
        <v>1527</v>
      </c>
      <c r="C51" s="1902">
        <v>2321</v>
      </c>
      <c r="D51" s="831">
        <f>+'Souhrn příjmů a výdajů 2025'!L63/1000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0" t="s">
        <v>1526</v>
      </c>
      <c r="C52" s="1902">
        <v>2322</v>
      </c>
      <c r="D52" s="831">
        <f>+'Souhrn příjmů a výdajů 2025'!L64/1000</f>
        <v>745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0" t="s">
        <v>958</v>
      </c>
      <c r="C53" s="1902" t="s">
        <v>44</v>
      </c>
      <c r="D53" s="831">
        <f>+'Souhrn příjmů a výdajů 2025'!L65/1000</f>
        <v>3090</v>
      </c>
      <c r="E53" s="212">
        <f>+D53</f>
        <v>3090</v>
      </c>
      <c r="F53" s="212">
        <f t="shared" ref="F53:I53" si="31">+E53</f>
        <v>3090</v>
      </c>
      <c r="G53" s="212">
        <f t="shared" si="31"/>
        <v>3090</v>
      </c>
      <c r="H53" s="212">
        <f t="shared" si="31"/>
        <v>3090</v>
      </c>
      <c r="I53" s="212">
        <f t="shared" si="31"/>
        <v>3090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2025'!L66/1000</f>
        <v>741</v>
      </c>
      <c r="E54" s="212">
        <f>+D54</f>
        <v>741</v>
      </c>
      <c r="F54" s="212">
        <f t="shared" ref="F54:I54" si="32">+E54</f>
        <v>741</v>
      </c>
      <c r="G54" s="212">
        <f t="shared" si="32"/>
        <v>741</v>
      </c>
      <c r="H54" s="212">
        <f t="shared" si="32"/>
        <v>741</v>
      </c>
      <c r="I54" s="212">
        <f t="shared" si="32"/>
        <v>741</v>
      </c>
      <c r="J54" s="289"/>
    </row>
    <row r="55" spans="1:10" ht="17.25" customHeight="1" outlineLevel="1">
      <c r="A55" s="880"/>
      <c r="B55" s="1091" t="s">
        <v>741</v>
      </c>
      <c r="C55" s="608">
        <v>2111</v>
      </c>
      <c r="D55" s="831">
        <f>+'Souhrn příjmů a výdajů 2025'!L67/1000</f>
        <v>11</v>
      </c>
      <c r="E55" s="212">
        <f>+D55</f>
        <v>11</v>
      </c>
      <c r="F55" s="212">
        <f t="shared" ref="F55:I55" si="33">+E55</f>
        <v>11</v>
      </c>
      <c r="G55" s="212">
        <f t="shared" si="33"/>
        <v>11</v>
      </c>
      <c r="H55" s="212">
        <f t="shared" si="33"/>
        <v>11</v>
      </c>
      <c r="I55" s="212">
        <f t="shared" si="33"/>
        <v>11</v>
      </c>
      <c r="J55" s="289"/>
    </row>
    <row r="56" spans="1:10" ht="17.25" customHeight="1" outlineLevel="1">
      <c r="A56" s="880"/>
      <c r="B56" s="1091" t="s">
        <v>2060</v>
      </c>
      <c r="C56" s="608">
        <v>2324</v>
      </c>
      <c r="D56" s="831">
        <f>+'Souhrn příjmů a výdajů 2025'!L68/1000</f>
        <v>59</v>
      </c>
      <c r="E56" s="212">
        <f>+D56</f>
        <v>59</v>
      </c>
      <c r="F56" s="212">
        <f t="shared" ref="F56:I56" si="34">+E56</f>
        <v>59</v>
      </c>
      <c r="G56" s="212">
        <f t="shared" si="34"/>
        <v>59</v>
      </c>
      <c r="H56" s="212">
        <f t="shared" si="34"/>
        <v>59</v>
      </c>
      <c r="I56" s="212">
        <f t="shared" si="34"/>
        <v>59</v>
      </c>
      <c r="J56" s="289"/>
    </row>
    <row r="57" spans="1:10" ht="17.25" customHeight="1" outlineLevel="1">
      <c r="A57" s="880"/>
      <c r="B57" s="1091" t="s">
        <v>1498</v>
      </c>
      <c r="C57" s="608">
        <v>2321</v>
      </c>
      <c r="D57" s="831">
        <f>+'Souhrn příjmů a výdajů 2025'!L69/1000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2102</v>
      </c>
      <c r="C58" s="608">
        <v>2324</v>
      </c>
      <c r="D58" s="831">
        <f>+'Souhrn příjmů a výdajů 2025'!L70/1000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742</v>
      </c>
      <c r="C59" s="608">
        <v>2132</v>
      </c>
      <c r="D59" s="831">
        <f>+'Souhrn příjmů a výdajů 2025'!L71/1000</f>
        <v>46.3</v>
      </c>
      <c r="E59" s="212">
        <f>+D59</f>
        <v>46.3</v>
      </c>
      <c r="F59" s="212">
        <f t="shared" ref="F59:I59" si="35">+E59</f>
        <v>46.3</v>
      </c>
      <c r="G59" s="212">
        <f t="shared" si="35"/>
        <v>46.3</v>
      </c>
      <c r="H59" s="212">
        <f t="shared" si="35"/>
        <v>46.3</v>
      </c>
      <c r="I59" s="212">
        <f t="shared" si="35"/>
        <v>46.3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2025'!L72/1000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1224</v>
      </c>
      <c r="C61" s="608">
        <v>2111</v>
      </c>
      <c r="D61" s="831">
        <f>+'Souhrn příjmů a výdajů 2025'!L73/1000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1924</v>
      </c>
      <c r="C62" s="608">
        <v>2324</v>
      </c>
      <c r="D62" s="831">
        <f>+'Souhrn příjmů a výdajů 2025'!L74/1000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2025'!L75/1000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2979</v>
      </c>
      <c r="C64" s="608">
        <v>2321</v>
      </c>
      <c r="D64" s="831">
        <f>+'Souhrn příjmů a výdajů 2025'!L76/1000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2025'!L77/1000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2025'!L78/1000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1226</v>
      </c>
      <c r="C67" s="608">
        <v>2212</v>
      </c>
      <c r="D67" s="831" t="e">
        <f>+'Souhrn příjmů a výdajů 2025'!#REF!/1000</f>
        <v>#REF!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2025'!L80/1000</f>
        <v>42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1227</v>
      </c>
      <c r="C69" s="608">
        <v>2212</v>
      </c>
      <c r="D69" s="831">
        <f>+'Souhrn příjmů a výdajů 2025'!L81/1000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743</v>
      </c>
      <c r="C70" s="608">
        <v>2141</v>
      </c>
      <c r="D70" s="831">
        <f>+'Souhrn příjmů a výdajů 2025'!L83/1000</f>
        <v>6</v>
      </c>
      <c r="E70" s="212">
        <f>+D70</f>
        <v>6</v>
      </c>
      <c r="F70" s="212">
        <f t="shared" ref="F70:I70" si="38">+E70</f>
        <v>6</v>
      </c>
      <c r="G70" s="212">
        <f t="shared" si="38"/>
        <v>6</v>
      </c>
      <c r="H70" s="212">
        <f t="shared" si="38"/>
        <v>6</v>
      </c>
      <c r="I70" s="212">
        <f t="shared" si="38"/>
        <v>6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2025'!L84/1000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744</v>
      </c>
      <c r="C72" s="1903">
        <v>2119</v>
      </c>
      <c r="D72" s="831">
        <f>+'Souhrn příjmů a výdajů 2025'!L85/1000</f>
        <v>596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0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16" t="s">
        <v>226</v>
      </c>
      <c r="B74" s="1417" t="s">
        <v>227</v>
      </c>
      <c r="C74" s="1418"/>
      <c r="D74" s="1530">
        <f>SUM(D75:D77)</f>
        <v>65</v>
      </c>
      <c r="E74" s="1419">
        <f t="shared" ref="E74:I74" si="40">SUM(E75:E77)</f>
        <v>65</v>
      </c>
      <c r="F74" s="1419">
        <f t="shared" si="40"/>
        <v>65</v>
      </c>
      <c r="G74" s="1419">
        <f t="shared" si="40"/>
        <v>65</v>
      </c>
      <c r="H74" s="1419">
        <f t="shared" si="40"/>
        <v>65</v>
      </c>
      <c r="I74" s="1419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celkem'!E89/1000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celkem'!E86/1000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0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16" t="s">
        <v>230</v>
      </c>
      <c r="B79" s="1417" t="s">
        <v>231</v>
      </c>
      <c r="C79" s="1418"/>
      <c r="D79" s="1530">
        <f>SUM(D80:D107)</f>
        <v>22704.119000000002</v>
      </c>
      <c r="E79" s="1419">
        <f t="shared" ref="E79:I79" si="42">SUM(E80:E107)</f>
        <v>226.32299999999998</v>
      </c>
      <c r="F79" s="1419">
        <f t="shared" si="42"/>
        <v>226.32299999999998</v>
      </c>
      <c r="G79" s="1419">
        <f t="shared" si="42"/>
        <v>226.32299999999998</v>
      </c>
      <c r="H79" s="1419">
        <f t="shared" si="42"/>
        <v>226.32299999999998</v>
      </c>
      <c r="I79" s="1419">
        <f t="shared" si="42"/>
        <v>226.32299999999998</v>
      </c>
      <c r="J79" s="289"/>
    </row>
    <row r="80" spans="1:10" ht="19.5" customHeight="1" outlineLevel="1" thickTop="1">
      <c r="A80" s="880"/>
      <c r="B80" s="1091" t="s">
        <v>2958</v>
      </c>
      <c r="C80" s="327">
        <v>4111</v>
      </c>
      <c r="D80" s="829">
        <f>+'Souhrn příjmů a výdajů 2025'!L95/1000</f>
        <v>163.12299999999999</v>
      </c>
      <c r="E80" s="883">
        <f>+D80</f>
        <v>163.12299999999999</v>
      </c>
      <c r="F80" s="883">
        <f t="shared" ref="F80:I80" si="43">+E80</f>
        <v>163.12299999999999</v>
      </c>
      <c r="G80" s="883">
        <f t="shared" si="43"/>
        <v>163.12299999999999</v>
      </c>
      <c r="H80" s="883">
        <f t="shared" si="43"/>
        <v>163.12299999999999</v>
      </c>
      <c r="I80" s="883">
        <f t="shared" si="43"/>
        <v>163.12299999999999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2025'!L96/1000</f>
        <v>120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3012</v>
      </c>
      <c r="C82" s="326">
        <v>4121</v>
      </c>
      <c r="D82" s="831">
        <f>+'Souhrn příjmů a výdajů 2025'!L97/1000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2061</v>
      </c>
      <c r="C83" s="326" t="s">
        <v>34</v>
      </c>
      <c r="D83" s="831">
        <f>+'Souhrn příjmů a výdajů 2025'!L98/1000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2062</v>
      </c>
      <c r="C84" s="327">
        <v>4121</v>
      </c>
      <c r="D84" s="831">
        <f>+'Souhrn příjmů a výdajů 2025'!L99/1000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2063</v>
      </c>
      <c r="C85" s="326">
        <v>4121</v>
      </c>
      <c r="D85" s="831">
        <f>+'Souhrn příjmů a výdajů 2025'!L100/1000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2064</v>
      </c>
      <c r="C86" s="326">
        <v>4122</v>
      </c>
      <c r="D86" s="831">
        <f>+'Souhrn příjmů a výdajů 2025'!L101/1000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2025'!L102/1000</f>
        <v>8491.2999999999993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2068</v>
      </c>
      <c r="C88" s="326">
        <v>4222</v>
      </c>
      <c r="D88" s="831">
        <f>+'Souhrn příjmů a výdajů 2025'!L103/1000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2956</v>
      </c>
      <c r="C89" s="326">
        <v>4216</v>
      </c>
      <c r="D89" s="831">
        <f>+'Souhrn příjmů a výdajů 2025'!L104/1000</f>
        <v>7363.36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2065</v>
      </c>
      <c r="C90" s="326" t="s">
        <v>36</v>
      </c>
      <c r="D90" s="831">
        <f>+'Souhrn příjmů a výdajů 2025'!L106/1000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2066</v>
      </c>
      <c r="C91" s="326">
        <v>4216</v>
      </c>
      <c r="D91" s="831">
        <f>+'Souhrn příjmů a výdajů 2025'!L107/1000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1913</v>
      </c>
      <c r="C92" s="327">
        <v>4117</v>
      </c>
      <c r="D92" s="831">
        <f>+'Souhrn příjmů a výdajů 2025'!L108/1000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2025'!L109/1000</f>
        <v>63.2</v>
      </c>
      <c r="E93" s="212">
        <f>+D93</f>
        <v>63.2</v>
      </c>
      <c r="F93" s="212">
        <f t="shared" ref="F93:I93" si="46">+E93</f>
        <v>63.2</v>
      </c>
      <c r="G93" s="212">
        <f t="shared" si="46"/>
        <v>63.2</v>
      </c>
      <c r="H93" s="212">
        <f t="shared" si="46"/>
        <v>63.2</v>
      </c>
      <c r="I93" s="212">
        <f t="shared" si="46"/>
        <v>63.2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2025'!L110/1000</f>
        <v>2544.0949999999998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956</v>
      </c>
      <c r="C95" s="327">
        <v>4216</v>
      </c>
      <c r="D95" s="832">
        <f>+'Souhrn příjmů a výdajů 2025'!L115/1000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2067</v>
      </c>
      <c r="C96" s="326">
        <v>4216</v>
      </c>
      <c r="D96" s="832">
        <f>+'Souhrn příjmů a výdajů 2025'!L116/1000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1229</v>
      </c>
      <c r="C97" s="327">
        <v>4222</v>
      </c>
      <c r="D97" s="832">
        <f>+'Souhrn příjmů a výdajů 2025'!L117/1000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2300</v>
      </c>
      <c r="C98" s="327">
        <v>4216</v>
      </c>
      <c r="D98" s="832">
        <f>+'Souhrn příjmů a výdajů 2025'!L118/1000</f>
        <v>0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1922</v>
      </c>
      <c r="C99" s="327">
        <v>4216</v>
      </c>
      <c r="D99" s="832">
        <f>+'Souhrn příjmů a výdajů 2025'!L119/1000</f>
        <v>2332.3409999999999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1147</v>
      </c>
      <c r="C100" s="327" t="s">
        <v>36</v>
      </c>
      <c r="D100" s="832">
        <f>+'Souhrn příjmů a výdajů 2025'!L124/1000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957</v>
      </c>
      <c r="C101" s="327">
        <v>4216</v>
      </c>
      <c r="D101" s="832">
        <f>+'Souhrn příjmů a výdajů 2025'!L125/1000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1228</v>
      </c>
      <c r="C102" s="327">
        <v>4216</v>
      </c>
      <c r="D102" s="832">
        <f>+'Souhrn příjmů a výdajů 2025'!L126/1000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393" t="s">
        <v>1148</v>
      </c>
      <c r="C103" s="327" t="s">
        <v>36</v>
      </c>
      <c r="D103" s="832">
        <f>+'Souhrn příjmů a výdajů 2025'!L127/1000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1149</v>
      </c>
      <c r="C104" s="327" t="s">
        <v>36</v>
      </c>
      <c r="D104" s="832">
        <f>+'Souhrn příjmů a výdajů 2025'!L128/1000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2101</v>
      </c>
      <c r="C105" s="327">
        <v>4122</v>
      </c>
      <c r="D105" s="832">
        <f>+'Souhrn příjmů a výdajů 2025'!L129/1000</f>
        <v>1626.7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03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0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16" t="s">
        <v>232</v>
      </c>
      <c r="B108" s="1417" t="s">
        <v>233</v>
      </c>
      <c r="C108" s="1418"/>
      <c r="D108" s="1530">
        <f>SUM(D109:D111)</f>
        <v>15000</v>
      </c>
      <c r="E108" s="1419">
        <f t="shared" ref="E108:I108" si="47">SUM(E109:E111)</f>
        <v>15000</v>
      </c>
      <c r="F108" s="1419">
        <f t="shared" si="47"/>
        <v>75500</v>
      </c>
      <c r="G108" s="1419">
        <f t="shared" si="47"/>
        <v>7242</v>
      </c>
      <c r="H108" s="1419">
        <f t="shared" si="47"/>
        <v>3935</v>
      </c>
      <c r="I108" s="1419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2025'!L132/1000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776</v>
      </c>
      <c r="C110" s="608" t="s">
        <v>38</v>
      </c>
      <c r="D110" s="234">
        <f>'Příjmy kapitol celkem'!E118/1000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774</v>
      </c>
      <c r="C111" s="608" t="s">
        <v>60</v>
      </c>
      <c r="D111" s="234">
        <f>+'Souhrn příjmů a výdajů 2025'!L134/1000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1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16" t="s">
        <v>235</v>
      </c>
      <c r="B113" s="1417"/>
      <c r="C113" s="1418"/>
      <c r="D113" s="1530" t="e">
        <f t="shared" ref="D113:I113" si="48">+D108+D79+D74+D27+D6</f>
        <v>#REF!</v>
      </c>
      <c r="E113" s="1419" t="e">
        <f t="shared" si="48"/>
        <v>#REF!</v>
      </c>
      <c r="F113" s="1419" t="e">
        <f t="shared" si="48"/>
        <v>#REF!</v>
      </c>
      <c r="G113" s="1419" t="e">
        <f t="shared" si="48"/>
        <v>#REF!</v>
      </c>
      <c r="H113" s="1419" t="e">
        <f t="shared" si="48"/>
        <v>#REF!</v>
      </c>
      <c r="I113" s="1419" t="e">
        <f t="shared" si="48"/>
        <v>#REF!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1" t="e">
        <f>+D113-'Příjmy kapitol celkem'!M122/1000</f>
        <v>#REF!</v>
      </c>
      <c r="E114" s="284"/>
      <c r="F114" s="284"/>
      <c r="G114" s="284"/>
      <c r="H114" s="284"/>
      <c r="I114" s="1532"/>
      <c r="J114" s="289"/>
    </row>
    <row r="115" spans="1:11" ht="16.5" hidden="1" thickTop="1" thickBot="1">
      <c r="A115" s="109"/>
      <c r="B115" s="109"/>
      <c r="C115" s="114"/>
      <c r="D115" s="1533"/>
      <c r="E115" s="1534"/>
      <c r="F115" s="1534"/>
      <c r="G115" s="1534"/>
      <c r="H115" s="1534"/>
      <c r="I115" s="1535"/>
      <c r="J115" s="289"/>
    </row>
    <row r="116" spans="1:11" ht="39" hidden="1" customHeight="1" thickTop="1" thickBot="1">
      <c r="A116" s="1420" t="s">
        <v>237</v>
      </c>
      <c r="B116" s="1421"/>
      <c r="C116" s="1522" t="s">
        <v>63</v>
      </c>
      <c r="D116" s="1536" t="str">
        <f t="shared" ref="D116:I116" si="49">D4</f>
        <v>Návrh rozpočtu 2024</v>
      </c>
      <c r="E116" s="1422" t="str">
        <f t="shared" si="49"/>
        <v>Výhled 2025</v>
      </c>
      <c r="F116" s="1422" t="str">
        <f t="shared" si="49"/>
        <v>Výhled 2026</v>
      </c>
      <c r="G116" s="1422" t="str">
        <f t="shared" si="49"/>
        <v>Výhled 2027</v>
      </c>
      <c r="H116" s="1422" t="str">
        <f t="shared" si="49"/>
        <v>Výhled 2028</v>
      </c>
      <c r="I116" s="1422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23" t="s">
        <v>238</v>
      </c>
      <c r="B118" s="1424" t="s">
        <v>239</v>
      </c>
      <c r="C118" s="1425"/>
      <c r="D118" s="1537">
        <f>+D119+D129</f>
        <v>192126.74401644399</v>
      </c>
      <c r="E118" s="1426">
        <f t="shared" ref="E118:I118" si="50">+E119+E129</f>
        <v>195922.51300514431</v>
      </c>
      <c r="F118" s="1426">
        <f t="shared" si="50"/>
        <v>200386.89877413673</v>
      </c>
      <c r="G118" s="1426">
        <f t="shared" si="50"/>
        <v>204515.47869623941</v>
      </c>
      <c r="H118" s="1426">
        <f t="shared" si="50"/>
        <v>208620.12486565608</v>
      </c>
      <c r="I118" s="1426">
        <f t="shared" si="50"/>
        <v>213704.17893328116</v>
      </c>
      <c r="J118" s="289"/>
      <c r="K118" s="291"/>
    </row>
    <row r="119" spans="1:11" s="281" customFormat="1" ht="16.5" thickBot="1">
      <c r="A119" s="884"/>
      <c r="B119" s="1427" t="s">
        <v>734</v>
      </c>
      <c r="C119" s="1428"/>
      <c r="D119" s="1538">
        <f>SUM(D120:D127)</f>
        <v>49109.225000000006</v>
      </c>
      <c r="E119" s="1429">
        <f t="shared" ref="E119:I119" si="51">SUM(E120:E127)</f>
        <v>49523.230435144331</v>
      </c>
      <c r="F119" s="1429">
        <f t="shared" si="51"/>
        <v>49947.178403926715</v>
      </c>
      <c r="G119" s="1429">
        <f t="shared" si="51"/>
        <v>50381.400978226404</v>
      </c>
      <c r="H119" s="1429">
        <f t="shared" si="51"/>
        <v>50826.241796729657</v>
      </c>
      <c r="I119" s="1429">
        <f t="shared" si="51"/>
        <v>51282.056469572948</v>
      </c>
      <c r="J119" s="289"/>
    </row>
    <row r="120" spans="1:11" s="292" customFormat="1" ht="16.149999999999999" outlineLevel="1" thickTop="1">
      <c r="A120" s="885"/>
      <c r="B120" s="1093" t="s">
        <v>64</v>
      </c>
      <c r="C120" s="1904">
        <v>5011</v>
      </c>
      <c r="D120" s="1539">
        <f>'Výdaje kapitol celkem'!K8/1000</f>
        <v>30900</v>
      </c>
      <c r="E120" s="886">
        <f>+D120*1.0035</f>
        <v>31008.15</v>
      </c>
      <c r="F120" s="886">
        <f>+E120*1.0035</f>
        <v>31116.678525000003</v>
      </c>
      <c r="G120" s="886">
        <f>+F120*1.0035</f>
        <v>31225.586899837504</v>
      </c>
      <c r="H120" s="886">
        <f>+G120*1.0035</f>
        <v>31334.876453986937</v>
      </c>
      <c r="I120" s="886">
        <f>+H120*1.0035</f>
        <v>31444.548521575893</v>
      </c>
      <c r="J120" s="1400"/>
    </row>
    <row r="121" spans="1:11" s="292" customFormat="1" outlineLevel="1">
      <c r="A121" s="885"/>
      <c r="B121" s="1094" t="s">
        <v>65</v>
      </c>
      <c r="C121" s="1905">
        <v>5021</v>
      </c>
      <c r="D121" s="1540">
        <f>'Výdaje kapitol celkem'!K9/1000</f>
        <v>2236.4780000000001</v>
      </c>
      <c r="E121" s="887">
        <f>+D121*1.035</f>
        <v>2314.7547300000001</v>
      </c>
      <c r="F121" s="887">
        <f t="shared" ref="F121:I121" si="52">+E121*1.035</f>
        <v>2395.7711455499998</v>
      </c>
      <c r="G121" s="887">
        <f t="shared" si="52"/>
        <v>2479.6231356442495</v>
      </c>
      <c r="H121" s="887">
        <f t="shared" si="52"/>
        <v>2566.4099453917979</v>
      </c>
      <c r="I121" s="887">
        <f t="shared" si="52"/>
        <v>2656.2342934805106</v>
      </c>
      <c r="J121" s="1400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celkem'!K10/1000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1"/>
    </row>
    <row r="123" spans="1:11" ht="18" customHeight="1" outlineLevel="1">
      <c r="A123" s="880"/>
      <c r="B123" s="1095" t="s">
        <v>733</v>
      </c>
      <c r="C123" s="1901">
        <v>5024</v>
      </c>
      <c r="D123" s="1528">
        <f>'Výdaje kapitol celkem'!K11/1000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celkem'!K12/1000</f>
        <v>46.210999999999999</v>
      </c>
      <c r="E124" s="212">
        <f>+D124*1.035</f>
        <v>47.828384999999997</v>
      </c>
      <c r="F124" s="212">
        <f t="shared" ref="F124:I124" si="54">+E124*1.035</f>
        <v>49.502378474999993</v>
      </c>
      <c r="G124" s="212">
        <f t="shared" si="54"/>
        <v>51.234961721624991</v>
      </c>
      <c r="H124" s="212">
        <f t="shared" si="54"/>
        <v>53.028185381881862</v>
      </c>
      <c r="I124" s="212">
        <f t="shared" si="54"/>
        <v>54.884171870247719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celkem'!K13/1000</f>
        <v>9019.2250000000004</v>
      </c>
      <c r="E125" s="212">
        <f>+D125/(D120+D121+D122)*(E120+E121+E122)</f>
        <v>9095.2770617288661</v>
      </c>
      <c r="F125" s="212">
        <f t="shared" ref="F125:I125" si="55">+E125/(E120+E121+E122)*(F120+F121+F122)</f>
        <v>9173.1522727717947</v>
      </c>
      <c r="G125" s="212">
        <f t="shared" si="55"/>
        <v>9252.9115079998137</v>
      </c>
      <c r="H125" s="212">
        <f t="shared" si="55"/>
        <v>9334.6177626306962</v>
      </c>
      <c r="I125" s="212">
        <f t="shared" si="55"/>
        <v>9418.3362264051375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celkem'!K14/1000</f>
        <v>3250.54</v>
      </c>
      <c r="E126" s="212">
        <f>+D126/(D120+D121+D122)*(E120+E121+E122)</f>
        <v>3277.9492584154568</v>
      </c>
      <c r="F126" s="212">
        <f t="shared" ref="F126:I126" si="56">+E126/(E120+E121+E122)*(F120+F121+F122)</f>
        <v>3306.015582129909</v>
      </c>
      <c r="G126" s="212">
        <f t="shared" si="56"/>
        <v>3334.7609105232114</v>
      </c>
      <c r="H126" s="212">
        <f t="shared" si="56"/>
        <v>3364.2079471508446</v>
      </c>
      <c r="I126" s="212">
        <f t="shared" si="56"/>
        <v>3394.3801864771031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celkem'!K15/1000</f>
        <v>156.77099999999999</v>
      </c>
      <c r="E127" s="212">
        <f>+D127</f>
        <v>156.77099999999999</v>
      </c>
      <c r="F127" s="212">
        <f t="shared" ref="F127:I127" si="57">+E127</f>
        <v>156.77099999999999</v>
      </c>
      <c r="G127" s="212">
        <f t="shared" si="57"/>
        <v>156.77099999999999</v>
      </c>
      <c r="H127" s="212">
        <f t="shared" si="57"/>
        <v>156.77099999999999</v>
      </c>
      <c r="I127" s="212">
        <f t="shared" si="57"/>
        <v>156.77099999999999</v>
      </c>
      <c r="J127" s="289"/>
    </row>
    <row r="128" spans="1:11" outlineLevel="1">
      <c r="A128" s="880"/>
      <c r="B128" s="1096"/>
      <c r="C128" s="265"/>
      <c r="D128" s="1541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0" t="s">
        <v>240</v>
      </c>
      <c r="C129" s="1906"/>
      <c r="D129" s="1530">
        <f>SUM(D130:D166)</f>
        <v>143017.51901644398</v>
      </c>
      <c r="E129" s="1419">
        <f t="shared" ref="E129:I129" si="58">SUM(E130:E166)</f>
        <v>146399.28256999998</v>
      </c>
      <c r="F129" s="1419">
        <f t="shared" si="58"/>
        <v>150439.72037021001</v>
      </c>
      <c r="G129" s="1419">
        <f t="shared" si="58"/>
        <v>154134.077718013</v>
      </c>
      <c r="H129" s="1419">
        <f t="shared" si="58"/>
        <v>157793.88306892643</v>
      </c>
      <c r="I129" s="1419">
        <f t="shared" si="58"/>
        <v>162422.12246370822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celkem'!R17/1000</f>
        <v>0</v>
      </c>
      <c r="E130" s="883">
        <f>'Výdaje kapitol celkem'!S17</f>
        <v>0</v>
      </c>
      <c r="F130" s="883">
        <f>'Výdaje kapitol celkem'!T17</f>
        <v>0</v>
      </c>
      <c r="G130" s="883">
        <f>'Výdaje kapitol celkem'!U17</f>
        <v>0</v>
      </c>
      <c r="H130" s="883">
        <f>'Výdaje kapitol celkem'!V17</f>
        <v>0</v>
      </c>
      <c r="I130" s="883">
        <f>'Výdaje kapitol celkem'!W17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celkem'!R18/1000</f>
        <v>0</v>
      </c>
      <c r="E131" s="212">
        <f>'Výdaje kapitol celkem'!S18</f>
        <v>0</v>
      </c>
      <c r="F131" s="212">
        <f>'Výdaje kapitol celkem'!T18</f>
        <v>0</v>
      </c>
      <c r="G131" s="212">
        <f>'Výdaje kapitol celkem'!U18</f>
        <v>0</v>
      </c>
      <c r="H131" s="212">
        <f>'Výdaje kapitol celkem'!V18</f>
        <v>0</v>
      </c>
      <c r="I131" s="212">
        <f>'Výdaje kapitol celkem'!W18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celkem'!K19/1000</f>
        <v>232</v>
      </c>
      <c r="E132" s="212">
        <f>+D132*1.03</f>
        <v>238.96</v>
      </c>
      <c r="F132" s="212">
        <f t="shared" ref="F132:I132" si="59">+E132*1.03</f>
        <v>246.12880000000001</v>
      </c>
      <c r="G132" s="212">
        <f t="shared" si="59"/>
        <v>253.51266400000003</v>
      </c>
      <c r="H132" s="212">
        <f t="shared" si="59"/>
        <v>261.11804392000005</v>
      </c>
      <c r="I132" s="212">
        <f t="shared" si="59"/>
        <v>268.95158523760006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celkem'!K20/1000</f>
        <v>315</v>
      </c>
      <c r="E133" s="212">
        <f t="shared" ref="E133:I164" si="60">+D133*1.03</f>
        <v>324.45</v>
      </c>
      <c r="F133" s="212">
        <f t="shared" si="60"/>
        <v>334.18349999999998</v>
      </c>
      <c r="G133" s="212">
        <f t="shared" si="60"/>
        <v>344.20900499999999</v>
      </c>
      <c r="H133" s="212">
        <f t="shared" si="60"/>
        <v>354.53527515000002</v>
      </c>
      <c r="I133" s="212">
        <f t="shared" si="60"/>
        <v>365.17133340450005</v>
      </c>
      <c r="J133" s="289"/>
    </row>
    <row r="134" spans="1:12" outlineLevel="1">
      <c r="A134" s="885"/>
      <c r="B134" s="1094" t="s">
        <v>75</v>
      </c>
      <c r="C134" s="1905">
        <v>5137</v>
      </c>
      <c r="D134" s="1540">
        <f>'Výdaje kapitol celkem'!K21/1000</f>
        <v>1326</v>
      </c>
      <c r="E134" s="212">
        <f t="shared" si="60"/>
        <v>1365.78</v>
      </c>
      <c r="F134" s="212">
        <f t="shared" si="60"/>
        <v>1406.7534000000001</v>
      </c>
      <c r="G134" s="212">
        <f t="shared" si="60"/>
        <v>1448.9560020000001</v>
      </c>
      <c r="H134" s="212">
        <f t="shared" si="60"/>
        <v>1492.4246820600001</v>
      </c>
      <c r="I134" s="212">
        <f t="shared" si="60"/>
        <v>1537.1974225218003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celkem'!K22/1000</f>
        <v>2006</v>
      </c>
      <c r="E135" s="212">
        <f t="shared" si="60"/>
        <v>2066.1799999999998</v>
      </c>
      <c r="F135" s="212">
        <f t="shared" si="60"/>
        <v>2128.1653999999999</v>
      </c>
      <c r="G135" s="212">
        <f t="shared" si="60"/>
        <v>2192.010362</v>
      </c>
      <c r="H135" s="212">
        <f t="shared" si="60"/>
        <v>2257.7706728600001</v>
      </c>
      <c r="I135" s="212">
        <f t="shared" si="60"/>
        <v>2325.5037930458002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celkem'!K23/1000</f>
        <v>836</v>
      </c>
      <c r="E136" s="212">
        <f t="shared" si="60"/>
        <v>861.08</v>
      </c>
      <c r="F136" s="212">
        <f t="shared" si="60"/>
        <v>886.91240000000005</v>
      </c>
      <c r="G136" s="212">
        <f t="shared" si="60"/>
        <v>913.5197720000001</v>
      </c>
      <c r="H136" s="212">
        <f t="shared" si="60"/>
        <v>940.92536516000018</v>
      </c>
      <c r="I136" s="212">
        <f t="shared" si="60"/>
        <v>969.15312611480022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celkem'!K24/1000</f>
        <v>2437</v>
      </c>
      <c r="E137" s="212">
        <f t="shared" si="60"/>
        <v>2510.11</v>
      </c>
      <c r="F137" s="212">
        <f t="shared" si="60"/>
        <v>2585.4133000000002</v>
      </c>
      <c r="G137" s="212">
        <f>+F137</f>
        <v>2585.4133000000002</v>
      </c>
      <c r="H137" s="212">
        <f>+G137</f>
        <v>2585.4133000000002</v>
      </c>
      <c r="I137" s="212">
        <f t="shared" si="60"/>
        <v>2662.9756990000001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celkem'!K25/1000</f>
        <v>3220.6</v>
      </c>
      <c r="E138" s="212">
        <f t="shared" si="60"/>
        <v>3317.2179999999998</v>
      </c>
      <c r="F138" s="212">
        <f t="shared" si="60"/>
        <v>3416.7345399999999</v>
      </c>
      <c r="G138" s="212">
        <f t="shared" si="60"/>
        <v>3519.2365761999999</v>
      </c>
      <c r="H138" s="212">
        <f>+G138</f>
        <v>3519.2365761999999</v>
      </c>
      <c r="I138" s="212">
        <f>+H138</f>
        <v>3519.2365761999999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celkem'!K26/1000</f>
        <v>379</v>
      </c>
      <c r="E139" s="212">
        <f t="shared" si="60"/>
        <v>390.37</v>
      </c>
      <c r="F139" s="212">
        <f t="shared" si="60"/>
        <v>402.08109999999999</v>
      </c>
      <c r="G139" s="212">
        <f t="shared" si="60"/>
        <v>414.14353299999999</v>
      </c>
      <c r="H139" s="212">
        <f t="shared" si="60"/>
        <v>426.56783898999998</v>
      </c>
      <c r="I139" s="212">
        <f t="shared" si="60"/>
        <v>439.36487415969998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celkem'!K27/1000</f>
        <v>585</v>
      </c>
      <c r="E140" s="212">
        <f t="shared" si="60"/>
        <v>602.55000000000007</v>
      </c>
      <c r="F140" s="212">
        <f t="shared" si="60"/>
        <v>620.62650000000008</v>
      </c>
      <c r="G140" s="212">
        <f t="shared" si="60"/>
        <v>639.24529500000006</v>
      </c>
      <c r="H140" s="212">
        <f t="shared" si="60"/>
        <v>658.42265385000007</v>
      </c>
      <c r="I140" s="212">
        <f t="shared" si="60"/>
        <v>678.1753334655001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celkem'!K28/1000</f>
        <v>823</v>
      </c>
      <c r="E141" s="212">
        <f t="shared" si="60"/>
        <v>847.69</v>
      </c>
      <c r="F141" s="212">
        <f t="shared" si="60"/>
        <v>873.12070000000006</v>
      </c>
      <c r="G141" s="212">
        <f t="shared" si="60"/>
        <v>899.31432100000006</v>
      </c>
      <c r="H141" s="212">
        <f t="shared" si="60"/>
        <v>926.29375063000009</v>
      </c>
      <c r="I141" s="212">
        <f t="shared" si="60"/>
        <v>954.08256314890014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celkem'!K29/1000</f>
        <v>1415</v>
      </c>
      <c r="E142" s="212">
        <f t="shared" si="60"/>
        <v>1457.45</v>
      </c>
      <c r="F142" s="212">
        <f t="shared" si="60"/>
        <v>1501.1735000000001</v>
      </c>
      <c r="G142" s="212">
        <f t="shared" si="60"/>
        <v>1546.2087050000002</v>
      </c>
      <c r="H142" s="212">
        <f t="shared" si="60"/>
        <v>1592.5949661500003</v>
      </c>
      <c r="I142" s="212">
        <f t="shared" si="60"/>
        <v>1640.3728151345003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celkem'!K30/1000</f>
        <v>1622.6</v>
      </c>
      <c r="E143" s="212">
        <f t="shared" si="60"/>
        <v>1671.278</v>
      </c>
      <c r="F143" s="212">
        <f t="shared" si="60"/>
        <v>1721.41634</v>
      </c>
      <c r="G143" s="212">
        <f t="shared" si="60"/>
        <v>1773.0588302000001</v>
      </c>
      <c r="H143" s="212">
        <f t="shared" si="60"/>
        <v>1826.2505951060002</v>
      </c>
      <c r="I143" s="212">
        <f t="shared" si="60"/>
        <v>1881.0381129591804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celkem'!K31/1000</f>
        <v>640</v>
      </c>
      <c r="E144" s="212">
        <f t="shared" si="60"/>
        <v>659.2</v>
      </c>
      <c r="F144" s="212">
        <f t="shared" si="60"/>
        <v>678.97600000000011</v>
      </c>
      <c r="G144" s="212">
        <f t="shared" si="60"/>
        <v>699.34528000000012</v>
      </c>
      <c r="H144" s="212">
        <f t="shared" si="60"/>
        <v>720.32563840000012</v>
      </c>
      <c r="I144" s="212">
        <f t="shared" si="60"/>
        <v>741.93540755200013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celkem'!K32/1000</f>
        <v>397</v>
      </c>
      <c r="E145" s="212">
        <f t="shared" si="60"/>
        <v>408.91</v>
      </c>
      <c r="F145" s="212">
        <f t="shared" si="60"/>
        <v>421.17730000000006</v>
      </c>
      <c r="G145" s="212">
        <f t="shared" si="60"/>
        <v>433.8126190000001</v>
      </c>
      <c r="H145" s="212">
        <f t="shared" si="60"/>
        <v>446.82699757000012</v>
      </c>
      <c r="I145" s="212">
        <f t="shared" si="60"/>
        <v>460.23180749710014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celkem'!K33/1000</f>
        <v>188</v>
      </c>
      <c r="E146" s="212">
        <f t="shared" si="60"/>
        <v>193.64000000000001</v>
      </c>
      <c r="F146" s="212">
        <f t="shared" si="60"/>
        <v>199.44920000000002</v>
      </c>
      <c r="G146" s="212">
        <f t="shared" si="60"/>
        <v>205.43267600000001</v>
      </c>
      <c r="H146" s="212">
        <f t="shared" si="60"/>
        <v>211.59565628000001</v>
      </c>
      <c r="I146" s="212">
        <f t="shared" si="60"/>
        <v>217.94352596840002</v>
      </c>
      <c r="J146" s="289"/>
    </row>
    <row r="147" spans="1:11" outlineLevel="1">
      <c r="A147" s="885"/>
      <c r="B147" s="1094" t="s">
        <v>88</v>
      </c>
      <c r="C147" s="1905">
        <v>5169</v>
      </c>
      <c r="D147" s="1540">
        <f>'Výdaje kapitol celkem'!K34/1000</f>
        <v>20798</v>
      </c>
      <c r="E147" s="212">
        <f t="shared" si="60"/>
        <v>21421.940000000002</v>
      </c>
      <c r="F147" s="212">
        <f t="shared" si="60"/>
        <v>22064.598200000004</v>
      </c>
      <c r="G147" s="212">
        <f t="shared" si="60"/>
        <v>22726.536146000006</v>
      </c>
      <c r="H147" s="212">
        <f t="shared" si="60"/>
        <v>23408.332230380005</v>
      </c>
      <c r="I147" s="212">
        <f t="shared" si="60"/>
        <v>24110.582197291405</v>
      </c>
      <c r="J147" s="289"/>
      <c r="K147" s="293"/>
    </row>
    <row r="148" spans="1:11" s="292" customFormat="1" outlineLevel="1">
      <c r="A148" s="885"/>
      <c r="B148" s="1094" t="s">
        <v>89</v>
      </c>
      <c r="C148" s="1905">
        <v>5171</v>
      </c>
      <c r="D148" s="1540">
        <f>'Výdaje kapitol celkem'!K35/1000</f>
        <v>26127</v>
      </c>
      <c r="E148" s="212">
        <f t="shared" si="60"/>
        <v>26910.81</v>
      </c>
      <c r="F148" s="212">
        <f t="shared" si="60"/>
        <v>27718.134300000002</v>
      </c>
      <c r="G148" s="212">
        <f t="shared" si="60"/>
        <v>28549.678329000002</v>
      </c>
      <c r="H148" s="212">
        <f t="shared" si="60"/>
        <v>29406.168678870003</v>
      </c>
      <c r="I148" s="212">
        <f t="shared" si="60"/>
        <v>30288.353739236103</v>
      </c>
      <c r="J148" s="1407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celkem'!K36/1000</f>
        <v>3162</v>
      </c>
      <c r="E149" s="212">
        <f t="shared" si="60"/>
        <v>3256.86</v>
      </c>
      <c r="F149" s="212">
        <f t="shared" si="60"/>
        <v>3354.5658000000003</v>
      </c>
      <c r="G149" s="212">
        <f t="shared" si="60"/>
        <v>3455.2027740000003</v>
      </c>
      <c r="H149" s="212">
        <f t="shared" si="60"/>
        <v>3558.8588572200006</v>
      </c>
      <c r="I149" s="212">
        <f t="shared" si="60"/>
        <v>3665.6246229366006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celkem'!K37/1000</f>
        <v>20.7</v>
      </c>
      <c r="E150" s="212">
        <f t="shared" si="60"/>
        <v>21.321000000000002</v>
      </c>
      <c r="F150" s="212">
        <f t="shared" si="60"/>
        <v>21.960630000000002</v>
      </c>
      <c r="G150" s="212">
        <f t="shared" si="60"/>
        <v>22.619448900000002</v>
      </c>
      <c r="H150" s="212">
        <f t="shared" si="60"/>
        <v>23.298032367000001</v>
      </c>
      <c r="I150" s="212">
        <f t="shared" si="60"/>
        <v>23.996973338010001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celkem'!K38/1000</f>
        <v>329.43400000000003</v>
      </c>
      <c r="E151" s="212">
        <f t="shared" si="60"/>
        <v>339.31702000000001</v>
      </c>
      <c r="F151" s="212">
        <f t="shared" si="60"/>
        <v>349.49653060000003</v>
      </c>
      <c r="G151" s="212">
        <f t="shared" si="60"/>
        <v>359.98142651800003</v>
      </c>
      <c r="H151" s="212">
        <f t="shared" si="60"/>
        <v>370.78086931354005</v>
      </c>
      <c r="I151" s="212">
        <f t="shared" si="60"/>
        <v>381.90429539294627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celkem'!K39/1000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celkem'!K40/1000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celkem'!K41/1000</f>
        <v>3800</v>
      </c>
      <c r="E154" s="212">
        <f t="shared" si="60"/>
        <v>3914</v>
      </c>
      <c r="F154" s="212">
        <f t="shared" si="60"/>
        <v>4031.42</v>
      </c>
      <c r="G154" s="212">
        <f t="shared" si="60"/>
        <v>4152.3626000000004</v>
      </c>
      <c r="H154" s="212">
        <f t="shared" si="60"/>
        <v>4276.9334780000008</v>
      </c>
      <c r="I154" s="212">
        <f t="shared" si="60"/>
        <v>4405.2414823400013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celkem'!K42/1000</f>
        <v>408</v>
      </c>
      <c r="E155" s="212">
        <f t="shared" si="60"/>
        <v>420.24</v>
      </c>
      <c r="F155" s="212">
        <f t="shared" si="60"/>
        <v>432.84720000000004</v>
      </c>
      <c r="G155" s="212">
        <f t="shared" si="60"/>
        <v>445.83261600000003</v>
      </c>
      <c r="H155" s="212">
        <f t="shared" si="60"/>
        <v>459.20759448000007</v>
      </c>
      <c r="I155" s="212">
        <f t="shared" si="60"/>
        <v>472.98382231440007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celkem'!K44/1000</f>
        <v>4442</v>
      </c>
      <c r="E156" s="212">
        <f t="shared" si="60"/>
        <v>4575.26</v>
      </c>
      <c r="F156" s="212">
        <f t="shared" si="60"/>
        <v>4712.5178000000005</v>
      </c>
      <c r="G156" s="212">
        <f t="shared" si="60"/>
        <v>4853.8933340000003</v>
      </c>
      <c r="H156" s="212">
        <f t="shared" si="60"/>
        <v>4999.5101340200008</v>
      </c>
      <c r="I156" s="212">
        <f t="shared" si="60"/>
        <v>5149.4954380406007</v>
      </c>
      <c r="J156" s="289"/>
    </row>
    <row r="157" spans="1:11" s="292" customFormat="1" outlineLevel="1">
      <c r="A157" s="885"/>
      <c r="B157" s="1094" t="s">
        <v>97</v>
      </c>
      <c r="C157" s="1905">
        <v>5331</v>
      </c>
      <c r="D157" s="1540">
        <f>'Výdaje kapitol celkem'!K45/1000</f>
        <v>58209.131000000001</v>
      </c>
      <c r="E157" s="212">
        <f t="shared" si="60"/>
        <v>59955.404930000004</v>
      </c>
      <c r="F157" s="212">
        <f t="shared" si="60"/>
        <v>61754.067077900007</v>
      </c>
      <c r="G157" s="212">
        <f t="shared" si="60"/>
        <v>63606.689090237007</v>
      </c>
      <c r="H157" s="212">
        <f t="shared" si="60"/>
        <v>65514.88976294412</v>
      </c>
      <c r="I157" s="212">
        <f t="shared" si="60"/>
        <v>67480.336455832439</v>
      </c>
      <c r="J157" s="1399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celkem'!K46/1000</f>
        <v>0</v>
      </c>
      <c r="E158" s="212">
        <f t="shared" si="60"/>
        <v>0</v>
      </c>
      <c r="F158" s="212">
        <f t="shared" si="60"/>
        <v>0</v>
      </c>
      <c r="G158" s="212">
        <f t="shared" si="60"/>
        <v>0</v>
      </c>
      <c r="H158" s="212">
        <f t="shared" si="60"/>
        <v>0</v>
      </c>
      <c r="I158" s="212">
        <f t="shared" si="60"/>
        <v>0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celkem'!K47/1000</f>
        <v>2984</v>
      </c>
      <c r="E159" s="212">
        <f t="shared" si="60"/>
        <v>3073.52</v>
      </c>
      <c r="F159" s="212">
        <f t="shared" si="60"/>
        <v>3165.7256000000002</v>
      </c>
      <c r="G159" s="212">
        <f t="shared" si="60"/>
        <v>3260.6973680000001</v>
      </c>
      <c r="H159" s="212">
        <f t="shared" si="60"/>
        <v>3358.5182890400001</v>
      </c>
      <c r="I159" s="212">
        <f t="shared" si="60"/>
        <v>3459.2738377112</v>
      </c>
      <c r="J159" s="289"/>
    </row>
    <row r="160" spans="1:11" ht="18" customHeight="1" outlineLevel="1">
      <c r="A160" s="880"/>
      <c r="B160" s="1091" t="s">
        <v>3013</v>
      </c>
      <c r="C160" s="608">
        <v>5363</v>
      </c>
      <c r="D160" s="831">
        <f>'Výdaje kapitol celkem'!K48/1000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celkem'!K49/1000</f>
        <v>475</v>
      </c>
      <c r="E161" s="212">
        <f t="shared" si="60"/>
        <v>489.25</v>
      </c>
      <c r="F161" s="212">
        <f t="shared" si="60"/>
        <v>503.92750000000001</v>
      </c>
      <c r="G161" s="212">
        <f t="shared" si="60"/>
        <v>519.04532500000005</v>
      </c>
      <c r="H161" s="212">
        <f t="shared" si="60"/>
        <v>534.6166847500001</v>
      </c>
      <c r="I161" s="212">
        <f t="shared" si="60"/>
        <v>550.65518529250016</v>
      </c>
      <c r="J161" s="1404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celkem'!K50/1000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celkem'!K51/1000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761</v>
      </c>
      <c r="C164" s="608">
        <v>5903</v>
      </c>
      <c r="D164" s="831">
        <f>'Výdaje kapitol celkem'!K52/1000</f>
        <v>74.054000000000002</v>
      </c>
      <c r="E164" s="212">
        <f t="shared" si="60"/>
        <v>76.275620000000004</v>
      </c>
      <c r="F164" s="212">
        <f t="shared" si="60"/>
        <v>78.563888600000013</v>
      </c>
      <c r="G164" s="212">
        <f t="shared" si="60"/>
        <v>80.920805258000016</v>
      </c>
      <c r="H164" s="212">
        <f t="shared" si="60"/>
        <v>83.348429415740014</v>
      </c>
      <c r="I164" s="212">
        <f t="shared" si="60"/>
        <v>85.848882298212217</v>
      </c>
      <c r="J164" s="289"/>
    </row>
    <row r="165" spans="1:10" s="286" customFormat="1" ht="18" customHeight="1" outlineLevel="1">
      <c r="A165" s="879"/>
      <c r="B165" s="1095" t="s">
        <v>129</v>
      </c>
      <c r="C165" s="1901">
        <v>5141</v>
      </c>
      <c r="D165" s="1528">
        <f>'Výdaje kapitol celkem'!K55/1000</f>
        <v>2586.0000164439989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03">
        <v>5144</v>
      </c>
      <c r="D166" s="832">
        <f>'Výdaje kapitol celkem'!K57/1000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16" t="s">
        <v>241</v>
      </c>
      <c r="B167" s="1431" t="s">
        <v>242</v>
      </c>
      <c r="C167" s="1906"/>
      <c r="D167" s="1530">
        <f>SUM(D168:D178)</f>
        <v>105644.08</v>
      </c>
      <c r="E167" s="1419">
        <f t="shared" ref="E167:I167" si="61">SUM(E168:E178)</f>
        <v>38558.413864855967</v>
      </c>
      <c r="F167" s="1419">
        <f t="shared" si="61"/>
        <v>86472.196162764478</v>
      </c>
      <c r="G167" s="1419">
        <f t="shared" si="61"/>
        <v>19320.245203455597</v>
      </c>
      <c r="H167" s="1419">
        <f t="shared" si="61"/>
        <v>7114.5376695463001</v>
      </c>
      <c r="I167" s="1419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celkem'!K60/1000</f>
        <v>30</v>
      </c>
      <c r="E168" s="883">
        <f>'Výdaje kapitol celkem'!L60</f>
        <v>0</v>
      </c>
      <c r="F168" s="883">
        <f>'Výdaje kapitol celkem'!M60</f>
        <v>0</v>
      </c>
      <c r="G168" s="883">
        <f>'Výdaje kapitol celkem'!N60</f>
        <v>0</v>
      </c>
      <c r="H168" s="883">
        <f>'Výdaje kapitol celkem'!O60</f>
        <v>0</v>
      </c>
      <c r="I168" s="883">
        <f>'Výdaje kapitol celkem'!P60</f>
        <v>0</v>
      </c>
      <c r="J168" s="289"/>
    </row>
    <row r="169" spans="1:10" s="292" customFormat="1" outlineLevel="1">
      <c r="A169" s="885"/>
      <c r="B169" s="1094" t="s">
        <v>105</v>
      </c>
      <c r="C169" s="1905">
        <v>6121</v>
      </c>
      <c r="D169" s="1540">
        <f>'Výdaje kapitol celkem'!K61/1000</f>
        <v>77187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07"/>
    </row>
    <row r="170" spans="1:10" s="292" customFormat="1" outlineLevel="1">
      <c r="A170" s="885"/>
      <c r="B170" s="1094" t="s">
        <v>106</v>
      </c>
      <c r="C170" s="1905">
        <v>6121</v>
      </c>
      <c r="D170" s="831">
        <f>'Výdaje kapitol celkem'!K62/1000</f>
        <v>2180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07"/>
    </row>
    <row r="171" spans="1:10" outlineLevel="1">
      <c r="A171" s="885"/>
      <c r="B171" s="1094" t="s">
        <v>107</v>
      </c>
      <c r="C171" s="1905">
        <v>6122</v>
      </c>
      <c r="D171" s="1540">
        <f>'Výdaje kapitol celkem'!K63/1000</f>
        <v>662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celkem'!K64/1000</f>
        <v>600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celkem'!K65/1000</f>
        <v>4300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celkem'!K66/1000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celkem'!K67/1000</f>
        <v>6366</v>
      </c>
      <c r="E175" s="212"/>
      <c r="F175" s="212"/>
      <c r="G175" s="212"/>
      <c r="H175" s="212"/>
      <c r="I175" s="212"/>
      <c r="J175" s="1407"/>
    </row>
    <row r="176" spans="1:10" ht="18.75" customHeight="1" outlineLevel="1">
      <c r="A176" s="880"/>
      <c r="B176" s="1091" t="s">
        <v>1141</v>
      </c>
      <c r="C176" s="608">
        <v>6349</v>
      </c>
      <c r="D176" s="831">
        <f>'Výdaje kapitol celkem'!K68/1000</f>
        <v>5761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celkem'!K69/1000</f>
        <v>8558.08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celkem'!K71/1000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03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16" t="s">
        <v>232</v>
      </c>
      <c r="B180" s="1431" t="s">
        <v>233</v>
      </c>
      <c r="C180" s="1906"/>
      <c r="D180" s="1530">
        <f>SUM(D181:D183)</f>
        <v>18341.693983556004</v>
      </c>
      <c r="E180" s="1419">
        <f t="shared" ref="E180:I180" si="62">SUM(E181:E183)</f>
        <v>5772.2529999999997</v>
      </c>
      <c r="F180" s="1419">
        <f t="shared" si="62"/>
        <v>5345.7120000000004</v>
      </c>
      <c r="G180" s="1419">
        <f t="shared" si="62"/>
        <v>5345.7120000000004</v>
      </c>
      <c r="H180" s="1419">
        <f t="shared" si="62"/>
        <v>5345.7120000000004</v>
      </c>
      <c r="I180" s="1419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celkem'!K70/1000</f>
        <v>8391.0199835560015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1" t="s">
        <v>115</v>
      </c>
      <c r="D183" s="1528">
        <f>'Výdaje kapitol celkem'!K74/1000</f>
        <v>9950.6740000000009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23" t="s">
        <v>243</v>
      </c>
      <c r="B185" s="1424"/>
      <c r="C185" s="1907"/>
      <c r="D185" s="1537">
        <f>+D180+D167+D118</f>
        <v>316112.51799999998</v>
      </c>
      <c r="E185" s="1426">
        <f t="shared" ref="E185:I185" si="63">+E180+E167+E118</f>
        <v>240253.17987000028</v>
      </c>
      <c r="F185" s="1426">
        <f t="shared" si="63"/>
        <v>292204.80693690118</v>
      </c>
      <c r="G185" s="1426">
        <f t="shared" si="63"/>
        <v>229181.435899695</v>
      </c>
      <c r="H185" s="1426">
        <f t="shared" si="63"/>
        <v>221080.37453520237</v>
      </c>
      <c r="I185" s="1426">
        <f t="shared" si="63"/>
        <v>227382.57483587286</v>
      </c>
      <c r="J185" s="289"/>
    </row>
    <row r="186" spans="1:10" s="286" customFormat="1" hidden="1">
      <c r="A186" s="180"/>
      <c r="B186" s="180" t="s">
        <v>244</v>
      </c>
      <c r="C186" s="1908"/>
      <c r="D186" s="284">
        <f>+D185-'Výdaje kapitol celkem'!K77/1000</f>
        <v>-1161.4000000000233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32" t="s">
        <v>1577</v>
      </c>
      <c r="B187" s="1433"/>
      <c r="C187" s="1909"/>
      <c r="D187" s="1434" t="e">
        <f>+D113-D185</f>
        <v>#REF!</v>
      </c>
      <c r="E187" s="1434" t="e">
        <f>+E113-E185</f>
        <v>#REF!</v>
      </c>
      <c r="F187" s="1434" t="e">
        <f t="shared" ref="F187:I187" si="64">+F113-F185</f>
        <v>#REF!</v>
      </c>
      <c r="G187" s="1434" t="e">
        <f t="shared" si="64"/>
        <v>#REF!</v>
      </c>
      <c r="H187" s="1434" t="e">
        <f t="shared" si="64"/>
        <v>#REF!</v>
      </c>
      <c r="I187" s="1434" t="e">
        <f t="shared" si="64"/>
        <v>#REF!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785</v>
      </c>
      <c r="C190" s="114"/>
      <c r="D190" s="113" t="e">
        <f t="shared" ref="D190:I190" si="65">+D6+D27+D74+D80+D82+D84</f>
        <v>#REF!</v>
      </c>
      <c r="E190" s="113" t="e">
        <f t="shared" si="65"/>
        <v>#REF!</v>
      </c>
      <c r="F190" s="113" t="e">
        <f t="shared" si="65"/>
        <v>#REF!</v>
      </c>
      <c r="G190" s="113" t="e">
        <f t="shared" si="65"/>
        <v>#REF!</v>
      </c>
      <c r="H190" s="113" t="e">
        <f t="shared" si="65"/>
        <v>#REF!</v>
      </c>
      <c r="I190" s="113" t="e">
        <f t="shared" si="65"/>
        <v>#REF!</v>
      </c>
      <c r="J190" s="289"/>
    </row>
    <row r="191" spans="1:10" ht="15.75" customHeight="1">
      <c r="A191" s="109"/>
      <c r="B191" s="109" t="s">
        <v>786</v>
      </c>
      <c r="C191" s="114"/>
      <c r="D191" s="113">
        <f>+D119+D129</f>
        <v>192126.74401644399</v>
      </c>
      <c r="E191" s="113">
        <f t="shared" ref="E191:I191" si="66">+E119+E129</f>
        <v>195922.51300514431</v>
      </c>
      <c r="F191" s="113">
        <f t="shared" si="66"/>
        <v>200386.89877413673</v>
      </c>
      <c r="G191" s="113">
        <f t="shared" si="66"/>
        <v>204515.47869623941</v>
      </c>
      <c r="H191" s="113">
        <f t="shared" si="66"/>
        <v>208620.12486565608</v>
      </c>
      <c r="I191" s="113">
        <f t="shared" si="66"/>
        <v>213704.17893328116</v>
      </c>
      <c r="J191" s="289"/>
    </row>
    <row r="192" spans="1:10" s="299" customFormat="1" ht="15.75" customHeight="1" thickBot="1">
      <c r="A192" s="295"/>
      <c r="B192" s="889" t="s">
        <v>2971</v>
      </c>
      <c r="C192" s="890"/>
      <c r="D192" s="891" t="e">
        <f t="shared" ref="D192:I192" si="67">+D190-D191</f>
        <v>#REF!</v>
      </c>
      <c r="E192" s="891" t="e">
        <f t="shared" si="67"/>
        <v>#REF!</v>
      </c>
      <c r="F192" s="891" t="e">
        <f t="shared" si="67"/>
        <v>#REF!</v>
      </c>
      <c r="G192" s="891" t="e">
        <f t="shared" si="67"/>
        <v>#REF!</v>
      </c>
      <c r="H192" s="891" t="e">
        <f t="shared" si="67"/>
        <v>#REF!</v>
      </c>
      <c r="I192" s="891" t="e">
        <f t="shared" si="67"/>
        <v>#REF!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787</v>
      </c>
      <c r="C194" s="114"/>
      <c r="D194" s="113">
        <f t="shared" ref="D194:I194" si="68">+D183</f>
        <v>9950.6740000000009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2972</v>
      </c>
      <c r="C195" s="890"/>
      <c r="D195" s="891" t="e">
        <f t="shared" ref="D195:I195" si="69">+D192-D194</f>
        <v>#REF!</v>
      </c>
      <c r="E195" s="891" t="e">
        <f t="shared" si="69"/>
        <v>#REF!</v>
      </c>
      <c r="F195" s="891" t="e">
        <f t="shared" si="69"/>
        <v>#REF!</v>
      </c>
      <c r="G195" s="891" t="e">
        <f t="shared" si="69"/>
        <v>#REF!</v>
      </c>
      <c r="H195" s="891" t="e">
        <f t="shared" si="69"/>
        <v>#REF!</v>
      </c>
      <c r="I195" s="891" t="e">
        <f t="shared" si="69"/>
        <v>#REF!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3014</v>
      </c>
      <c r="C197" s="114"/>
      <c r="D197" s="113">
        <f t="shared" ref="D197:I197" si="70">+D79-D80-D82-D84</f>
        <v>22540.996000000003</v>
      </c>
      <c r="E197" s="113">
        <f t="shared" si="70"/>
        <v>63.199999999999989</v>
      </c>
      <c r="F197" s="113">
        <f t="shared" si="70"/>
        <v>63.199999999999989</v>
      </c>
      <c r="G197" s="113">
        <f t="shared" si="70"/>
        <v>63.199999999999989</v>
      </c>
      <c r="H197" s="113">
        <f t="shared" si="70"/>
        <v>63.199999999999989</v>
      </c>
      <c r="I197" s="113">
        <f t="shared" si="70"/>
        <v>63.199999999999989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105644.08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788</v>
      </c>
      <c r="C199" s="890"/>
      <c r="D199" s="891" t="e">
        <f>+D195+D197-D198</f>
        <v>#REF!</v>
      </c>
      <c r="E199" s="891" t="e">
        <f t="shared" ref="E199:I199" si="72">+E195+E197-E198</f>
        <v>#REF!</v>
      </c>
      <c r="F199" s="891" t="e">
        <f t="shared" si="72"/>
        <v>#REF!</v>
      </c>
      <c r="G199" s="891" t="e">
        <f t="shared" si="72"/>
        <v>#REF!</v>
      </c>
      <c r="H199" s="891" t="e">
        <f t="shared" si="72"/>
        <v>#REF!</v>
      </c>
      <c r="I199" s="891" t="e">
        <f t="shared" si="72"/>
        <v>#REF!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2974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789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3015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657</v>
      </c>
      <c r="B205" s="295"/>
      <c r="C205" s="875"/>
      <c r="D205" s="876" t="e">
        <f>+D212/D207</f>
        <v>#REF!</v>
      </c>
      <c r="E205" s="876" t="e">
        <f t="shared" ref="E205:I205" si="75">+E212/E207</f>
        <v>#REF!</v>
      </c>
      <c r="F205" s="876" t="e">
        <f t="shared" si="75"/>
        <v>#REF!</v>
      </c>
      <c r="G205" s="876" t="e">
        <f t="shared" si="75"/>
        <v>#REF!</v>
      </c>
      <c r="H205" s="876" t="e">
        <f t="shared" si="75"/>
        <v>#REF!</v>
      </c>
      <c r="I205" s="876" t="e">
        <f t="shared" si="75"/>
        <v>#REF!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652</v>
      </c>
      <c r="C207" s="893"/>
      <c r="D207" s="894" t="e">
        <f>SUM(D208:D210)</f>
        <v>#REF!</v>
      </c>
      <c r="E207" s="894" t="e">
        <f t="shared" ref="E207:I207" si="76">SUM(E208:E210)</f>
        <v>#REF!</v>
      </c>
      <c r="F207" s="894" t="e">
        <f t="shared" si="76"/>
        <v>#REF!</v>
      </c>
      <c r="G207" s="894" t="e">
        <f t="shared" si="76"/>
        <v>#REF!</v>
      </c>
      <c r="H207" s="894" t="e">
        <f t="shared" si="76"/>
        <v>#REF!</v>
      </c>
      <c r="I207" s="894" t="e">
        <f t="shared" si="76"/>
        <v>#REF!</v>
      </c>
      <c r="J207" s="298"/>
      <c r="K207" s="302"/>
    </row>
    <row r="208" spans="1:11" ht="16.149999999999999" thickTop="1">
      <c r="A208" s="109"/>
      <c r="B208" s="287" t="s">
        <v>654</v>
      </c>
      <c r="C208" s="114"/>
      <c r="D208" s="190" t="e">
        <f t="shared" ref="D208:I208" si="77">+D6-D21</f>
        <v>#REF!</v>
      </c>
      <c r="E208" s="190" t="e">
        <f t="shared" si="77"/>
        <v>#REF!</v>
      </c>
      <c r="F208" s="190" t="e">
        <f t="shared" si="77"/>
        <v>#REF!</v>
      </c>
      <c r="G208" s="190" t="e">
        <f t="shared" si="77"/>
        <v>#REF!</v>
      </c>
      <c r="H208" s="190" t="e">
        <f t="shared" si="77"/>
        <v>#REF!</v>
      </c>
      <c r="I208" s="190" t="e">
        <f t="shared" si="77"/>
        <v>#REF!</v>
      </c>
      <c r="J208" s="289"/>
    </row>
    <row r="209" spans="1:11">
      <c r="A209" s="109"/>
      <c r="B209" s="287" t="s">
        <v>655</v>
      </c>
      <c r="C209" s="114"/>
      <c r="D209" s="190" t="e">
        <f t="shared" ref="D209:I209" si="78">+D27</f>
        <v>#REF!</v>
      </c>
      <c r="E209" s="190">
        <f t="shared" si="78"/>
        <v>28504.613000000001</v>
      </c>
      <c r="F209" s="190">
        <f t="shared" si="78"/>
        <v>28484.113000000001</v>
      </c>
      <c r="G209" s="190">
        <f t="shared" si="78"/>
        <v>28484.113000000001</v>
      </c>
      <c r="H209" s="190">
        <f t="shared" si="78"/>
        <v>28484.113000000001</v>
      </c>
      <c r="I209" s="190">
        <f t="shared" si="78"/>
        <v>28484.113000000001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22704.119000000002</v>
      </c>
      <c r="E210" s="190">
        <f t="shared" si="79"/>
        <v>226.32299999999998</v>
      </c>
      <c r="F210" s="190">
        <f t="shared" si="79"/>
        <v>226.32299999999998</v>
      </c>
      <c r="G210" s="190">
        <f t="shared" si="79"/>
        <v>226.32299999999998</v>
      </c>
      <c r="H210" s="190">
        <f t="shared" si="79"/>
        <v>226.32299999999998</v>
      </c>
      <c r="I210" s="190">
        <f t="shared" si="79"/>
        <v>226.32299999999998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653</v>
      </c>
      <c r="C212" s="893"/>
      <c r="D212" s="894">
        <f>SUM(D213:D214)</f>
        <v>12536.674016444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2586.0000164439989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9950.6740000000009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246</v>
      </c>
      <c r="C217" s="114"/>
      <c r="D217" s="304" t="e">
        <f t="shared" ref="D217:I217" si="81">+D6+D27+D80+D83-D118-D21</f>
        <v>#REF!</v>
      </c>
      <c r="E217" s="304" t="e">
        <f t="shared" si="81"/>
        <v>#REF!</v>
      </c>
      <c r="F217" s="304" t="e">
        <f t="shared" si="81"/>
        <v>#REF!</v>
      </c>
      <c r="G217" s="304" t="e">
        <f t="shared" si="81"/>
        <v>#REF!</v>
      </c>
      <c r="H217" s="304" t="e">
        <f t="shared" si="81"/>
        <v>#REF!</v>
      </c>
      <c r="I217" s="304" t="e">
        <f t="shared" si="81"/>
        <v>#REF!</v>
      </c>
      <c r="J217" s="289"/>
    </row>
    <row r="218" spans="1:11" s="303" customFormat="1" ht="16.5" thickBot="1">
      <c r="A218" s="189"/>
      <c r="B218" s="892" t="s">
        <v>247</v>
      </c>
      <c r="C218" s="893"/>
      <c r="D218" s="895" t="e">
        <f t="shared" ref="D218:I218" si="82">D217/(D6+D27+D80+D82+D74)</f>
        <v>#REF!</v>
      </c>
      <c r="E218" s="895" t="e">
        <f t="shared" si="82"/>
        <v>#REF!</v>
      </c>
      <c r="F218" s="895" t="e">
        <f t="shared" si="82"/>
        <v>#REF!</v>
      </c>
      <c r="G218" s="895" t="e">
        <f t="shared" si="82"/>
        <v>#REF!</v>
      </c>
      <c r="H218" s="895" t="e">
        <f t="shared" si="82"/>
        <v>#REF!</v>
      </c>
      <c r="I218" s="895" t="e">
        <f t="shared" si="82"/>
        <v>#REF!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676</v>
      </c>
      <c r="C220" s="294"/>
      <c r="D220" s="305">
        <f>+D221/D222</f>
        <v>2.6637545791273094E-5</v>
      </c>
      <c r="E220" s="305">
        <f t="shared" ref="E220:I220" si="83">+E221/E222</f>
        <v>6.6386956290827976E-5</v>
      </c>
      <c r="F220" s="305">
        <f t="shared" si="83"/>
        <v>6.4254137966485037E-5</v>
      </c>
      <c r="G220" s="305">
        <f t="shared" si="83"/>
        <v>1.3688879154574824E-4</v>
      </c>
      <c r="H220" s="305">
        <f t="shared" si="83"/>
        <v>2.501125506477915E-4</v>
      </c>
      <c r="I220" s="305">
        <f t="shared" si="83"/>
        <v>2.501125506477915E-4</v>
      </c>
      <c r="J220" s="298"/>
    </row>
    <row r="221" spans="1:11">
      <c r="A221" s="189"/>
      <c r="B221" s="287" t="s">
        <v>760</v>
      </c>
      <c r="C221" s="114"/>
      <c r="D221" s="306">
        <f>+D212/(D202+D197)</f>
        <v>0.33394622818329062</v>
      </c>
      <c r="E221" s="306">
        <f>+E212/(E202+E197)</f>
        <v>0.49969933347495882</v>
      </c>
      <c r="F221" s="306">
        <f t="shared" ref="F221:I221" si="84">+F212/(F202+F197)</f>
        <v>0.4370331206377866</v>
      </c>
      <c r="G221" s="306">
        <f t="shared" si="84"/>
        <v>0.83557461187920934</v>
      </c>
      <c r="H221" s="306">
        <f t="shared" si="84"/>
        <v>1.337029663348507</v>
      </c>
      <c r="I221" s="306">
        <f t="shared" si="84"/>
        <v>1.337029663348507</v>
      </c>
      <c r="J221" s="289"/>
    </row>
    <row r="222" spans="1:11">
      <c r="A222" s="189"/>
      <c r="B222" s="287"/>
      <c r="C222" s="114"/>
      <c r="D222" s="188">
        <f>+D212</f>
        <v>12536.674016444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1576</v>
      </c>
      <c r="E223" s="307" t="s">
        <v>1802</v>
      </c>
      <c r="F223" s="307" t="s">
        <v>1803</v>
      </c>
      <c r="G223" s="307" t="s">
        <v>1804</v>
      </c>
      <c r="H223" s="307" t="s">
        <v>1805</v>
      </c>
      <c r="I223" s="307" t="s">
        <v>1806</v>
      </c>
      <c r="J223" s="289"/>
    </row>
    <row r="224" spans="1:11" s="281" customFormat="1" ht="16.5" thickBot="1">
      <c r="A224" s="189"/>
      <c r="B224" s="1910" t="s">
        <v>726</v>
      </c>
      <c r="C224" s="896"/>
      <c r="D224" s="1440">
        <f>SUM(D225:D231)</f>
        <v>125007.12300000001</v>
      </c>
      <c r="E224" s="1440">
        <f t="shared" ref="E224:I224" si="86">SUM(E225:E231)</f>
        <v>500673.42800000001</v>
      </c>
      <c r="F224" s="1440">
        <f t="shared" si="86"/>
        <v>86247.716</v>
      </c>
      <c r="G224" s="1440">
        <f t="shared" si="86"/>
        <v>80902.004000000001</v>
      </c>
      <c r="H224" s="1440">
        <f t="shared" si="86"/>
        <v>75556.292000000001</v>
      </c>
      <c r="I224" s="1440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728</v>
      </c>
      <c r="C225" s="114"/>
      <c r="D225" s="1436">
        <f>11818172/1000</f>
        <v>11818.172</v>
      </c>
      <c r="E225" s="1436">
        <f>+'plán - úvěrů a úroků'!I29</f>
        <v>409080</v>
      </c>
      <c r="F225" s="1436">
        <f>+'plán - úvěrů a úroků'!J29</f>
        <v>0</v>
      </c>
      <c r="G225" s="1436">
        <f>+'plán - úvěrů a úroků'!K29</f>
        <v>0</v>
      </c>
      <c r="H225" s="1436">
        <f>+'plán - úvěrů a úroků'!L29</f>
        <v>0</v>
      </c>
      <c r="I225" s="1436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729</v>
      </c>
      <c r="C226" s="114"/>
      <c r="D226" s="1436">
        <f>72938360/1000</f>
        <v>72938.36</v>
      </c>
      <c r="E226" s="1436">
        <f>+'plán - úvěrů a úroků'!I30/1000</f>
        <v>67819.868000000002</v>
      </c>
      <c r="F226" s="1436">
        <f>+'plán - úvěrů a úroků'!J30/1000</f>
        <v>62701.375999999997</v>
      </c>
      <c r="G226" s="1436">
        <f>+'plán - úvěrů a úroků'!K30/1000</f>
        <v>57582.883999999998</v>
      </c>
      <c r="H226" s="1436">
        <f>+'plán - úvěrů a úroků'!L30/1000</f>
        <v>52464.392</v>
      </c>
      <c r="I226" s="1436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765</v>
      </c>
      <c r="C227" s="114"/>
      <c r="D227" s="1436">
        <f>24905640/1000</f>
        <v>24905.64</v>
      </c>
      <c r="E227" s="1436">
        <f>+'plán - úvěrů a úroků'!I31/1000</f>
        <v>23773.56</v>
      </c>
      <c r="F227" s="1436">
        <f>+'plán - úvěrů a úroků'!J31/1000</f>
        <v>23546.34</v>
      </c>
      <c r="G227" s="1436">
        <f>+'plán - úvěrů a úroků'!K31/1000</f>
        <v>23319.119999999999</v>
      </c>
      <c r="H227" s="1436">
        <f>+'plán - úvěrů a úroků'!L31/1000</f>
        <v>23091.9</v>
      </c>
      <c r="I227" s="1436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765</v>
      </c>
      <c r="C228" s="283"/>
      <c r="D228" s="1437"/>
      <c r="E228" s="1437"/>
      <c r="F228" s="1437"/>
      <c r="G228" s="1437"/>
      <c r="H228" s="1437"/>
      <c r="I228" s="1437"/>
      <c r="J228" s="289"/>
    </row>
    <row r="229" spans="1:11" s="281" customFormat="1" ht="16.149999999999999" hidden="1">
      <c r="A229" s="189"/>
      <c r="B229" s="309" t="s">
        <v>765</v>
      </c>
      <c r="C229" s="294"/>
      <c r="D229" s="1438">
        <v>1.651</v>
      </c>
      <c r="E229" s="1438"/>
      <c r="F229" s="1438"/>
      <c r="G229" s="1438"/>
      <c r="H229" s="1438"/>
      <c r="I229" s="1438"/>
      <c r="J229" s="298"/>
    </row>
    <row r="230" spans="1:11" s="299" customFormat="1" ht="16.149999999999999">
      <c r="A230" s="295"/>
      <c r="B230" s="309" t="s">
        <v>1154</v>
      </c>
      <c r="C230" s="297"/>
      <c r="D230" s="1436">
        <f>13260000/1000</f>
        <v>13260</v>
      </c>
      <c r="E230" s="1436">
        <f>+'plán - úvěrů a úroků'!I32/1000</f>
        <v>0</v>
      </c>
      <c r="F230" s="1436">
        <f>+'plán - úvěrů a úroků'!J32/1000</f>
        <v>0</v>
      </c>
      <c r="G230" s="1436">
        <f>+'plán - úvěrů a úroků'!K32/1000</f>
        <v>0</v>
      </c>
      <c r="H230" s="1436">
        <f>+'plán - úvěrů a úroků'!L32/1000</f>
        <v>0</v>
      </c>
      <c r="I230" s="1436">
        <f>+'plán - úvěrů a úroků'!M32/1000</f>
        <v>0</v>
      </c>
      <c r="J230" s="298"/>
    </row>
    <row r="231" spans="1:11" s="299" customFormat="1" ht="16.149999999999999">
      <c r="A231" s="296"/>
      <c r="B231" s="1435" t="s">
        <v>1575</v>
      </c>
      <c r="C231" s="310"/>
      <c r="D231" s="1439">
        <f>2083300/1000</f>
        <v>2083.3000000000002</v>
      </c>
      <c r="E231" s="1439">
        <f>+'plán - úvěrů a úroků'!I33/1000</f>
        <v>0</v>
      </c>
      <c r="F231" s="1439">
        <f>+'plán - úvěrů a úroků'!J33/1000</f>
        <v>0</v>
      </c>
      <c r="G231" s="1439">
        <f>+'plán - úvěrů a úroků'!K33/1000</f>
        <v>0</v>
      </c>
      <c r="H231" s="1439">
        <f>+'plán - úvěrů a úroků'!L33/1000</f>
        <v>0</v>
      </c>
      <c r="I231" s="1439">
        <f>+'plán - úvěrů a úroků'!M33/1000</f>
        <v>0</v>
      </c>
      <c r="J231" s="298"/>
    </row>
    <row r="232" spans="1:11" s="299" customFormat="1" ht="16.149999999999999">
      <c r="A232" s="311" t="s">
        <v>545</v>
      </c>
      <c r="B232" s="312"/>
      <c r="C232" s="313"/>
      <c r="D232" s="313"/>
      <c r="E232" s="314"/>
      <c r="F232" s="315"/>
      <c r="G232" s="315"/>
      <c r="H232" s="1405"/>
      <c r="I232" s="1405"/>
      <c r="J232" s="1405"/>
    </row>
  </sheetData>
  <sheetProtection algorithmName="SHA-512" hashValue="tb8K7+A83sDAJR/1xuXLT/AvqNfSJZGJO27Few1bVmKHjuG119HbBZQ0v9BpZM1g2CT7jG/WhhD8NwGeHzyWBQ==" saltValue="IpNAwwhh4c0Lf6Lii9suZ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topLeftCell="A118" workbookViewId="0"/>
  </sheetViews>
  <sheetFormatPr defaultColWidth="8.86328125" defaultRowHeight="12.75" zeroHeight="1"/>
  <cols>
    <col min="1" max="1" width="118.265625" style="1457" customWidth="1"/>
    <col min="2" max="2" width="26.86328125" style="1457" customWidth="1"/>
    <col min="3" max="3" width="20" style="1457" customWidth="1"/>
    <col min="4" max="4" width="29.73046875" style="1457" bestFit="1" customWidth="1"/>
    <col min="5" max="5" width="33.265625" style="1457" customWidth="1"/>
    <col min="6" max="6" width="27.73046875" style="1457" customWidth="1"/>
    <col min="7" max="7" width="22.265625" style="1457" customWidth="1"/>
    <col min="8" max="8" width="32" style="1457" customWidth="1"/>
    <col min="9" max="9" width="23.265625" style="1457" customWidth="1"/>
    <col min="10" max="10" width="18" style="1457" customWidth="1"/>
    <col min="11" max="11" width="16.73046875" style="1457" customWidth="1"/>
    <col min="12" max="12" width="13.265625" style="1457" customWidth="1"/>
    <col min="13" max="13" width="15.265625" style="1457" customWidth="1"/>
    <col min="14" max="14" width="11" style="1457" customWidth="1"/>
    <col min="15" max="16" width="9.73046875" style="1457" customWidth="1"/>
    <col min="17" max="17" width="10" style="1457" customWidth="1"/>
    <col min="18" max="19" width="17" style="1457" customWidth="1"/>
    <col min="20" max="256" width="8.86328125" style="1457"/>
    <col min="257" max="257" width="118.265625" style="1457" customWidth="1"/>
    <col min="258" max="258" width="26.86328125" style="1457" customWidth="1"/>
    <col min="259" max="259" width="20" style="1457" customWidth="1"/>
    <col min="260" max="260" width="29.73046875" style="1457" bestFit="1" customWidth="1"/>
    <col min="261" max="261" width="33.265625" style="1457" customWidth="1"/>
    <col min="262" max="262" width="27.73046875" style="1457" customWidth="1"/>
    <col min="263" max="263" width="22.265625" style="1457" customWidth="1"/>
    <col min="264" max="264" width="32" style="1457" customWidth="1"/>
    <col min="265" max="265" width="23.265625" style="1457" customWidth="1"/>
    <col min="266" max="266" width="18" style="1457" customWidth="1"/>
    <col min="267" max="267" width="16.73046875" style="1457" customWidth="1"/>
    <col min="268" max="268" width="13.265625" style="1457" customWidth="1"/>
    <col min="269" max="269" width="15.265625" style="1457" customWidth="1"/>
    <col min="270" max="270" width="11" style="1457" customWidth="1"/>
    <col min="271" max="272" width="9.73046875" style="1457" customWidth="1"/>
    <col min="273" max="273" width="10" style="1457" customWidth="1"/>
    <col min="274" max="275" width="17" style="1457" customWidth="1"/>
    <col min="276" max="512" width="8.86328125" style="1457"/>
    <col min="513" max="513" width="118.265625" style="1457" customWidth="1"/>
    <col min="514" max="514" width="26.86328125" style="1457" customWidth="1"/>
    <col min="515" max="515" width="20" style="1457" customWidth="1"/>
    <col min="516" max="516" width="29.73046875" style="1457" bestFit="1" customWidth="1"/>
    <col min="517" max="517" width="33.265625" style="1457" customWidth="1"/>
    <col min="518" max="518" width="27.73046875" style="1457" customWidth="1"/>
    <col min="519" max="519" width="22.265625" style="1457" customWidth="1"/>
    <col min="520" max="520" width="32" style="1457" customWidth="1"/>
    <col min="521" max="521" width="23.265625" style="1457" customWidth="1"/>
    <col min="522" max="522" width="18" style="1457" customWidth="1"/>
    <col min="523" max="523" width="16.73046875" style="1457" customWidth="1"/>
    <col min="524" max="524" width="13.265625" style="1457" customWidth="1"/>
    <col min="525" max="525" width="15.265625" style="1457" customWidth="1"/>
    <col min="526" max="526" width="11" style="1457" customWidth="1"/>
    <col min="527" max="528" width="9.73046875" style="1457" customWidth="1"/>
    <col min="529" max="529" width="10" style="1457" customWidth="1"/>
    <col min="530" max="531" width="17" style="1457" customWidth="1"/>
    <col min="532" max="768" width="8.86328125" style="1457"/>
    <col min="769" max="769" width="118.265625" style="1457" customWidth="1"/>
    <col min="770" max="770" width="26.86328125" style="1457" customWidth="1"/>
    <col min="771" max="771" width="20" style="1457" customWidth="1"/>
    <col min="772" max="772" width="29.73046875" style="1457" bestFit="1" customWidth="1"/>
    <col min="773" max="773" width="33.265625" style="1457" customWidth="1"/>
    <col min="774" max="774" width="27.73046875" style="1457" customWidth="1"/>
    <col min="775" max="775" width="22.265625" style="1457" customWidth="1"/>
    <col min="776" max="776" width="32" style="1457" customWidth="1"/>
    <col min="777" max="777" width="23.265625" style="1457" customWidth="1"/>
    <col min="778" max="778" width="18" style="1457" customWidth="1"/>
    <col min="779" max="779" width="16.73046875" style="1457" customWidth="1"/>
    <col min="780" max="780" width="13.265625" style="1457" customWidth="1"/>
    <col min="781" max="781" width="15.265625" style="1457" customWidth="1"/>
    <col min="782" max="782" width="11" style="1457" customWidth="1"/>
    <col min="783" max="784" width="9.73046875" style="1457" customWidth="1"/>
    <col min="785" max="785" width="10" style="1457" customWidth="1"/>
    <col min="786" max="787" width="17" style="1457" customWidth="1"/>
    <col min="788" max="1024" width="8.86328125" style="1457"/>
    <col min="1025" max="1025" width="118.265625" style="1457" customWidth="1"/>
    <col min="1026" max="1026" width="26.86328125" style="1457" customWidth="1"/>
    <col min="1027" max="1027" width="20" style="1457" customWidth="1"/>
    <col min="1028" max="1028" width="29.73046875" style="1457" bestFit="1" customWidth="1"/>
    <col min="1029" max="1029" width="33.265625" style="1457" customWidth="1"/>
    <col min="1030" max="1030" width="27.73046875" style="1457" customWidth="1"/>
    <col min="1031" max="1031" width="22.265625" style="1457" customWidth="1"/>
    <col min="1032" max="1032" width="32" style="1457" customWidth="1"/>
    <col min="1033" max="1033" width="23.265625" style="1457" customWidth="1"/>
    <col min="1034" max="1034" width="18" style="1457" customWidth="1"/>
    <col min="1035" max="1035" width="16.73046875" style="1457" customWidth="1"/>
    <col min="1036" max="1036" width="13.265625" style="1457" customWidth="1"/>
    <col min="1037" max="1037" width="15.265625" style="1457" customWidth="1"/>
    <col min="1038" max="1038" width="11" style="1457" customWidth="1"/>
    <col min="1039" max="1040" width="9.73046875" style="1457" customWidth="1"/>
    <col min="1041" max="1041" width="10" style="1457" customWidth="1"/>
    <col min="1042" max="1043" width="17" style="1457" customWidth="1"/>
    <col min="1044" max="1280" width="8.86328125" style="1457"/>
    <col min="1281" max="1281" width="118.265625" style="1457" customWidth="1"/>
    <col min="1282" max="1282" width="26.86328125" style="1457" customWidth="1"/>
    <col min="1283" max="1283" width="20" style="1457" customWidth="1"/>
    <col min="1284" max="1284" width="29.73046875" style="1457" bestFit="1" customWidth="1"/>
    <col min="1285" max="1285" width="33.265625" style="1457" customWidth="1"/>
    <col min="1286" max="1286" width="27.73046875" style="1457" customWidth="1"/>
    <col min="1287" max="1287" width="22.265625" style="1457" customWidth="1"/>
    <col min="1288" max="1288" width="32" style="1457" customWidth="1"/>
    <col min="1289" max="1289" width="23.265625" style="1457" customWidth="1"/>
    <col min="1290" max="1290" width="18" style="1457" customWidth="1"/>
    <col min="1291" max="1291" width="16.73046875" style="1457" customWidth="1"/>
    <col min="1292" max="1292" width="13.265625" style="1457" customWidth="1"/>
    <col min="1293" max="1293" width="15.265625" style="1457" customWidth="1"/>
    <col min="1294" max="1294" width="11" style="1457" customWidth="1"/>
    <col min="1295" max="1296" width="9.73046875" style="1457" customWidth="1"/>
    <col min="1297" max="1297" width="10" style="1457" customWidth="1"/>
    <col min="1298" max="1299" width="17" style="1457" customWidth="1"/>
    <col min="1300" max="1536" width="8.86328125" style="1457"/>
    <col min="1537" max="1537" width="118.265625" style="1457" customWidth="1"/>
    <col min="1538" max="1538" width="26.86328125" style="1457" customWidth="1"/>
    <col min="1539" max="1539" width="20" style="1457" customWidth="1"/>
    <col min="1540" max="1540" width="29.73046875" style="1457" bestFit="1" customWidth="1"/>
    <col min="1541" max="1541" width="33.265625" style="1457" customWidth="1"/>
    <col min="1542" max="1542" width="27.73046875" style="1457" customWidth="1"/>
    <col min="1543" max="1543" width="22.265625" style="1457" customWidth="1"/>
    <col min="1544" max="1544" width="32" style="1457" customWidth="1"/>
    <col min="1545" max="1545" width="23.265625" style="1457" customWidth="1"/>
    <col min="1546" max="1546" width="18" style="1457" customWidth="1"/>
    <col min="1547" max="1547" width="16.73046875" style="1457" customWidth="1"/>
    <col min="1548" max="1548" width="13.265625" style="1457" customWidth="1"/>
    <col min="1549" max="1549" width="15.265625" style="1457" customWidth="1"/>
    <col min="1550" max="1550" width="11" style="1457" customWidth="1"/>
    <col min="1551" max="1552" width="9.73046875" style="1457" customWidth="1"/>
    <col min="1553" max="1553" width="10" style="1457" customWidth="1"/>
    <col min="1554" max="1555" width="17" style="1457" customWidth="1"/>
    <col min="1556" max="1792" width="8.86328125" style="1457"/>
    <col min="1793" max="1793" width="118.265625" style="1457" customWidth="1"/>
    <col min="1794" max="1794" width="26.86328125" style="1457" customWidth="1"/>
    <col min="1795" max="1795" width="20" style="1457" customWidth="1"/>
    <col min="1796" max="1796" width="29.73046875" style="1457" bestFit="1" customWidth="1"/>
    <col min="1797" max="1797" width="33.265625" style="1457" customWidth="1"/>
    <col min="1798" max="1798" width="27.73046875" style="1457" customWidth="1"/>
    <col min="1799" max="1799" width="22.265625" style="1457" customWidth="1"/>
    <col min="1800" max="1800" width="32" style="1457" customWidth="1"/>
    <col min="1801" max="1801" width="23.265625" style="1457" customWidth="1"/>
    <col min="1802" max="1802" width="18" style="1457" customWidth="1"/>
    <col min="1803" max="1803" width="16.73046875" style="1457" customWidth="1"/>
    <col min="1804" max="1804" width="13.265625" style="1457" customWidth="1"/>
    <col min="1805" max="1805" width="15.265625" style="1457" customWidth="1"/>
    <col min="1806" max="1806" width="11" style="1457" customWidth="1"/>
    <col min="1807" max="1808" width="9.73046875" style="1457" customWidth="1"/>
    <col min="1809" max="1809" width="10" style="1457" customWidth="1"/>
    <col min="1810" max="1811" width="17" style="1457" customWidth="1"/>
    <col min="1812" max="2048" width="8.86328125" style="1457"/>
    <col min="2049" max="2049" width="118.265625" style="1457" customWidth="1"/>
    <col min="2050" max="2050" width="26.86328125" style="1457" customWidth="1"/>
    <col min="2051" max="2051" width="20" style="1457" customWidth="1"/>
    <col min="2052" max="2052" width="29.73046875" style="1457" bestFit="1" customWidth="1"/>
    <col min="2053" max="2053" width="33.265625" style="1457" customWidth="1"/>
    <col min="2054" max="2054" width="27.73046875" style="1457" customWidth="1"/>
    <col min="2055" max="2055" width="22.265625" style="1457" customWidth="1"/>
    <col min="2056" max="2056" width="32" style="1457" customWidth="1"/>
    <col min="2057" max="2057" width="23.265625" style="1457" customWidth="1"/>
    <col min="2058" max="2058" width="18" style="1457" customWidth="1"/>
    <col min="2059" max="2059" width="16.73046875" style="1457" customWidth="1"/>
    <col min="2060" max="2060" width="13.265625" style="1457" customWidth="1"/>
    <col min="2061" max="2061" width="15.265625" style="1457" customWidth="1"/>
    <col min="2062" max="2062" width="11" style="1457" customWidth="1"/>
    <col min="2063" max="2064" width="9.73046875" style="1457" customWidth="1"/>
    <col min="2065" max="2065" width="10" style="1457" customWidth="1"/>
    <col min="2066" max="2067" width="17" style="1457" customWidth="1"/>
    <col min="2068" max="2304" width="8.86328125" style="1457"/>
    <col min="2305" max="2305" width="118.265625" style="1457" customWidth="1"/>
    <col min="2306" max="2306" width="26.86328125" style="1457" customWidth="1"/>
    <col min="2307" max="2307" width="20" style="1457" customWidth="1"/>
    <col min="2308" max="2308" width="29.73046875" style="1457" bestFit="1" customWidth="1"/>
    <col min="2309" max="2309" width="33.265625" style="1457" customWidth="1"/>
    <col min="2310" max="2310" width="27.73046875" style="1457" customWidth="1"/>
    <col min="2311" max="2311" width="22.265625" style="1457" customWidth="1"/>
    <col min="2312" max="2312" width="32" style="1457" customWidth="1"/>
    <col min="2313" max="2313" width="23.265625" style="1457" customWidth="1"/>
    <col min="2314" max="2314" width="18" style="1457" customWidth="1"/>
    <col min="2315" max="2315" width="16.73046875" style="1457" customWidth="1"/>
    <col min="2316" max="2316" width="13.265625" style="1457" customWidth="1"/>
    <col min="2317" max="2317" width="15.265625" style="1457" customWidth="1"/>
    <col min="2318" max="2318" width="11" style="1457" customWidth="1"/>
    <col min="2319" max="2320" width="9.73046875" style="1457" customWidth="1"/>
    <col min="2321" max="2321" width="10" style="1457" customWidth="1"/>
    <col min="2322" max="2323" width="17" style="1457" customWidth="1"/>
    <col min="2324" max="2560" width="8.86328125" style="1457"/>
    <col min="2561" max="2561" width="118.265625" style="1457" customWidth="1"/>
    <col min="2562" max="2562" width="26.86328125" style="1457" customWidth="1"/>
    <col min="2563" max="2563" width="20" style="1457" customWidth="1"/>
    <col min="2564" max="2564" width="29.73046875" style="1457" bestFit="1" customWidth="1"/>
    <col min="2565" max="2565" width="33.265625" style="1457" customWidth="1"/>
    <col min="2566" max="2566" width="27.73046875" style="1457" customWidth="1"/>
    <col min="2567" max="2567" width="22.265625" style="1457" customWidth="1"/>
    <col min="2568" max="2568" width="32" style="1457" customWidth="1"/>
    <col min="2569" max="2569" width="23.265625" style="1457" customWidth="1"/>
    <col min="2570" max="2570" width="18" style="1457" customWidth="1"/>
    <col min="2571" max="2571" width="16.73046875" style="1457" customWidth="1"/>
    <col min="2572" max="2572" width="13.265625" style="1457" customWidth="1"/>
    <col min="2573" max="2573" width="15.265625" style="1457" customWidth="1"/>
    <col min="2574" max="2574" width="11" style="1457" customWidth="1"/>
    <col min="2575" max="2576" width="9.73046875" style="1457" customWidth="1"/>
    <col min="2577" max="2577" width="10" style="1457" customWidth="1"/>
    <col min="2578" max="2579" width="17" style="1457" customWidth="1"/>
    <col min="2580" max="2816" width="8.86328125" style="1457"/>
    <col min="2817" max="2817" width="118.265625" style="1457" customWidth="1"/>
    <col min="2818" max="2818" width="26.86328125" style="1457" customWidth="1"/>
    <col min="2819" max="2819" width="20" style="1457" customWidth="1"/>
    <col min="2820" max="2820" width="29.73046875" style="1457" bestFit="1" customWidth="1"/>
    <col min="2821" max="2821" width="33.265625" style="1457" customWidth="1"/>
    <col min="2822" max="2822" width="27.73046875" style="1457" customWidth="1"/>
    <col min="2823" max="2823" width="22.265625" style="1457" customWidth="1"/>
    <col min="2824" max="2824" width="32" style="1457" customWidth="1"/>
    <col min="2825" max="2825" width="23.265625" style="1457" customWidth="1"/>
    <col min="2826" max="2826" width="18" style="1457" customWidth="1"/>
    <col min="2827" max="2827" width="16.73046875" style="1457" customWidth="1"/>
    <col min="2828" max="2828" width="13.265625" style="1457" customWidth="1"/>
    <col min="2829" max="2829" width="15.265625" style="1457" customWidth="1"/>
    <col min="2830" max="2830" width="11" style="1457" customWidth="1"/>
    <col min="2831" max="2832" width="9.73046875" style="1457" customWidth="1"/>
    <col min="2833" max="2833" width="10" style="1457" customWidth="1"/>
    <col min="2834" max="2835" width="17" style="1457" customWidth="1"/>
    <col min="2836" max="3072" width="8.86328125" style="1457"/>
    <col min="3073" max="3073" width="118.265625" style="1457" customWidth="1"/>
    <col min="3074" max="3074" width="26.86328125" style="1457" customWidth="1"/>
    <col min="3075" max="3075" width="20" style="1457" customWidth="1"/>
    <col min="3076" max="3076" width="29.73046875" style="1457" bestFit="1" customWidth="1"/>
    <col min="3077" max="3077" width="33.265625" style="1457" customWidth="1"/>
    <col min="3078" max="3078" width="27.73046875" style="1457" customWidth="1"/>
    <col min="3079" max="3079" width="22.265625" style="1457" customWidth="1"/>
    <col min="3080" max="3080" width="32" style="1457" customWidth="1"/>
    <col min="3081" max="3081" width="23.265625" style="1457" customWidth="1"/>
    <col min="3082" max="3082" width="18" style="1457" customWidth="1"/>
    <col min="3083" max="3083" width="16.73046875" style="1457" customWidth="1"/>
    <col min="3084" max="3084" width="13.265625" style="1457" customWidth="1"/>
    <col min="3085" max="3085" width="15.265625" style="1457" customWidth="1"/>
    <col min="3086" max="3086" width="11" style="1457" customWidth="1"/>
    <col min="3087" max="3088" width="9.73046875" style="1457" customWidth="1"/>
    <col min="3089" max="3089" width="10" style="1457" customWidth="1"/>
    <col min="3090" max="3091" width="17" style="1457" customWidth="1"/>
    <col min="3092" max="3328" width="8.86328125" style="1457"/>
    <col min="3329" max="3329" width="118.265625" style="1457" customWidth="1"/>
    <col min="3330" max="3330" width="26.86328125" style="1457" customWidth="1"/>
    <col min="3331" max="3331" width="20" style="1457" customWidth="1"/>
    <col min="3332" max="3332" width="29.73046875" style="1457" bestFit="1" customWidth="1"/>
    <col min="3333" max="3333" width="33.265625" style="1457" customWidth="1"/>
    <col min="3334" max="3334" width="27.73046875" style="1457" customWidth="1"/>
    <col min="3335" max="3335" width="22.265625" style="1457" customWidth="1"/>
    <col min="3336" max="3336" width="32" style="1457" customWidth="1"/>
    <col min="3337" max="3337" width="23.265625" style="1457" customWidth="1"/>
    <col min="3338" max="3338" width="18" style="1457" customWidth="1"/>
    <col min="3339" max="3339" width="16.73046875" style="1457" customWidth="1"/>
    <col min="3340" max="3340" width="13.265625" style="1457" customWidth="1"/>
    <col min="3341" max="3341" width="15.265625" style="1457" customWidth="1"/>
    <col min="3342" max="3342" width="11" style="1457" customWidth="1"/>
    <col min="3343" max="3344" width="9.73046875" style="1457" customWidth="1"/>
    <col min="3345" max="3345" width="10" style="1457" customWidth="1"/>
    <col min="3346" max="3347" width="17" style="1457" customWidth="1"/>
    <col min="3348" max="3584" width="8.86328125" style="1457"/>
    <col min="3585" max="3585" width="118.265625" style="1457" customWidth="1"/>
    <col min="3586" max="3586" width="26.86328125" style="1457" customWidth="1"/>
    <col min="3587" max="3587" width="20" style="1457" customWidth="1"/>
    <col min="3588" max="3588" width="29.73046875" style="1457" bestFit="1" customWidth="1"/>
    <col min="3589" max="3589" width="33.265625" style="1457" customWidth="1"/>
    <col min="3590" max="3590" width="27.73046875" style="1457" customWidth="1"/>
    <col min="3591" max="3591" width="22.265625" style="1457" customWidth="1"/>
    <col min="3592" max="3592" width="32" style="1457" customWidth="1"/>
    <col min="3593" max="3593" width="23.265625" style="1457" customWidth="1"/>
    <col min="3594" max="3594" width="18" style="1457" customWidth="1"/>
    <col min="3595" max="3595" width="16.73046875" style="1457" customWidth="1"/>
    <col min="3596" max="3596" width="13.265625" style="1457" customWidth="1"/>
    <col min="3597" max="3597" width="15.265625" style="1457" customWidth="1"/>
    <col min="3598" max="3598" width="11" style="1457" customWidth="1"/>
    <col min="3599" max="3600" width="9.73046875" style="1457" customWidth="1"/>
    <col min="3601" max="3601" width="10" style="1457" customWidth="1"/>
    <col min="3602" max="3603" width="17" style="1457" customWidth="1"/>
    <col min="3604" max="3840" width="8.86328125" style="1457"/>
    <col min="3841" max="3841" width="118.265625" style="1457" customWidth="1"/>
    <col min="3842" max="3842" width="26.86328125" style="1457" customWidth="1"/>
    <col min="3843" max="3843" width="20" style="1457" customWidth="1"/>
    <col min="3844" max="3844" width="29.73046875" style="1457" bestFit="1" customWidth="1"/>
    <col min="3845" max="3845" width="33.265625" style="1457" customWidth="1"/>
    <col min="3846" max="3846" width="27.73046875" style="1457" customWidth="1"/>
    <col min="3847" max="3847" width="22.265625" style="1457" customWidth="1"/>
    <col min="3848" max="3848" width="32" style="1457" customWidth="1"/>
    <col min="3849" max="3849" width="23.265625" style="1457" customWidth="1"/>
    <col min="3850" max="3850" width="18" style="1457" customWidth="1"/>
    <col min="3851" max="3851" width="16.73046875" style="1457" customWidth="1"/>
    <col min="3852" max="3852" width="13.265625" style="1457" customWidth="1"/>
    <col min="3853" max="3853" width="15.265625" style="1457" customWidth="1"/>
    <col min="3854" max="3854" width="11" style="1457" customWidth="1"/>
    <col min="3855" max="3856" width="9.73046875" style="1457" customWidth="1"/>
    <col min="3857" max="3857" width="10" style="1457" customWidth="1"/>
    <col min="3858" max="3859" width="17" style="1457" customWidth="1"/>
    <col min="3860" max="4096" width="8.86328125" style="1457"/>
    <col min="4097" max="4097" width="118.265625" style="1457" customWidth="1"/>
    <col min="4098" max="4098" width="26.86328125" style="1457" customWidth="1"/>
    <col min="4099" max="4099" width="20" style="1457" customWidth="1"/>
    <col min="4100" max="4100" width="29.73046875" style="1457" bestFit="1" customWidth="1"/>
    <col min="4101" max="4101" width="33.265625" style="1457" customWidth="1"/>
    <col min="4102" max="4102" width="27.73046875" style="1457" customWidth="1"/>
    <col min="4103" max="4103" width="22.265625" style="1457" customWidth="1"/>
    <col min="4104" max="4104" width="32" style="1457" customWidth="1"/>
    <col min="4105" max="4105" width="23.265625" style="1457" customWidth="1"/>
    <col min="4106" max="4106" width="18" style="1457" customWidth="1"/>
    <col min="4107" max="4107" width="16.73046875" style="1457" customWidth="1"/>
    <col min="4108" max="4108" width="13.265625" style="1457" customWidth="1"/>
    <col min="4109" max="4109" width="15.265625" style="1457" customWidth="1"/>
    <col min="4110" max="4110" width="11" style="1457" customWidth="1"/>
    <col min="4111" max="4112" width="9.73046875" style="1457" customWidth="1"/>
    <col min="4113" max="4113" width="10" style="1457" customWidth="1"/>
    <col min="4114" max="4115" width="17" style="1457" customWidth="1"/>
    <col min="4116" max="4352" width="8.86328125" style="1457"/>
    <col min="4353" max="4353" width="118.265625" style="1457" customWidth="1"/>
    <col min="4354" max="4354" width="26.86328125" style="1457" customWidth="1"/>
    <col min="4355" max="4355" width="20" style="1457" customWidth="1"/>
    <col min="4356" max="4356" width="29.73046875" style="1457" bestFit="1" customWidth="1"/>
    <col min="4357" max="4357" width="33.265625" style="1457" customWidth="1"/>
    <col min="4358" max="4358" width="27.73046875" style="1457" customWidth="1"/>
    <col min="4359" max="4359" width="22.265625" style="1457" customWidth="1"/>
    <col min="4360" max="4360" width="32" style="1457" customWidth="1"/>
    <col min="4361" max="4361" width="23.265625" style="1457" customWidth="1"/>
    <col min="4362" max="4362" width="18" style="1457" customWidth="1"/>
    <col min="4363" max="4363" width="16.73046875" style="1457" customWidth="1"/>
    <col min="4364" max="4364" width="13.265625" style="1457" customWidth="1"/>
    <col min="4365" max="4365" width="15.265625" style="1457" customWidth="1"/>
    <col min="4366" max="4366" width="11" style="1457" customWidth="1"/>
    <col min="4367" max="4368" width="9.73046875" style="1457" customWidth="1"/>
    <col min="4369" max="4369" width="10" style="1457" customWidth="1"/>
    <col min="4370" max="4371" width="17" style="1457" customWidth="1"/>
    <col min="4372" max="4608" width="8.86328125" style="1457"/>
    <col min="4609" max="4609" width="118.265625" style="1457" customWidth="1"/>
    <col min="4610" max="4610" width="26.86328125" style="1457" customWidth="1"/>
    <col min="4611" max="4611" width="20" style="1457" customWidth="1"/>
    <col min="4612" max="4612" width="29.73046875" style="1457" bestFit="1" customWidth="1"/>
    <col min="4613" max="4613" width="33.265625" style="1457" customWidth="1"/>
    <col min="4614" max="4614" width="27.73046875" style="1457" customWidth="1"/>
    <col min="4615" max="4615" width="22.265625" style="1457" customWidth="1"/>
    <col min="4616" max="4616" width="32" style="1457" customWidth="1"/>
    <col min="4617" max="4617" width="23.265625" style="1457" customWidth="1"/>
    <col min="4618" max="4618" width="18" style="1457" customWidth="1"/>
    <col min="4619" max="4619" width="16.73046875" style="1457" customWidth="1"/>
    <col min="4620" max="4620" width="13.265625" style="1457" customWidth="1"/>
    <col min="4621" max="4621" width="15.265625" style="1457" customWidth="1"/>
    <col min="4622" max="4622" width="11" style="1457" customWidth="1"/>
    <col min="4623" max="4624" width="9.73046875" style="1457" customWidth="1"/>
    <col min="4625" max="4625" width="10" style="1457" customWidth="1"/>
    <col min="4626" max="4627" width="17" style="1457" customWidth="1"/>
    <col min="4628" max="4864" width="8.86328125" style="1457"/>
    <col min="4865" max="4865" width="118.265625" style="1457" customWidth="1"/>
    <col min="4866" max="4866" width="26.86328125" style="1457" customWidth="1"/>
    <col min="4867" max="4867" width="20" style="1457" customWidth="1"/>
    <col min="4868" max="4868" width="29.73046875" style="1457" bestFit="1" customWidth="1"/>
    <col min="4869" max="4869" width="33.265625" style="1457" customWidth="1"/>
    <col min="4870" max="4870" width="27.73046875" style="1457" customWidth="1"/>
    <col min="4871" max="4871" width="22.265625" style="1457" customWidth="1"/>
    <col min="4872" max="4872" width="32" style="1457" customWidth="1"/>
    <col min="4873" max="4873" width="23.265625" style="1457" customWidth="1"/>
    <col min="4874" max="4874" width="18" style="1457" customWidth="1"/>
    <col min="4875" max="4875" width="16.73046875" style="1457" customWidth="1"/>
    <col min="4876" max="4876" width="13.265625" style="1457" customWidth="1"/>
    <col min="4877" max="4877" width="15.265625" style="1457" customWidth="1"/>
    <col min="4878" max="4878" width="11" style="1457" customWidth="1"/>
    <col min="4879" max="4880" width="9.73046875" style="1457" customWidth="1"/>
    <col min="4881" max="4881" width="10" style="1457" customWidth="1"/>
    <col min="4882" max="4883" width="17" style="1457" customWidth="1"/>
    <col min="4884" max="5120" width="8.86328125" style="1457"/>
    <col min="5121" max="5121" width="118.265625" style="1457" customWidth="1"/>
    <col min="5122" max="5122" width="26.86328125" style="1457" customWidth="1"/>
    <col min="5123" max="5123" width="20" style="1457" customWidth="1"/>
    <col min="5124" max="5124" width="29.73046875" style="1457" bestFit="1" customWidth="1"/>
    <col min="5125" max="5125" width="33.265625" style="1457" customWidth="1"/>
    <col min="5126" max="5126" width="27.73046875" style="1457" customWidth="1"/>
    <col min="5127" max="5127" width="22.265625" style="1457" customWidth="1"/>
    <col min="5128" max="5128" width="32" style="1457" customWidth="1"/>
    <col min="5129" max="5129" width="23.265625" style="1457" customWidth="1"/>
    <col min="5130" max="5130" width="18" style="1457" customWidth="1"/>
    <col min="5131" max="5131" width="16.73046875" style="1457" customWidth="1"/>
    <col min="5132" max="5132" width="13.265625" style="1457" customWidth="1"/>
    <col min="5133" max="5133" width="15.265625" style="1457" customWidth="1"/>
    <col min="5134" max="5134" width="11" style="1457" customWidth="1"/>
    <col min="5135" max="5136" width="9.73046875" style="1457" customWidth="1"/>
    <col min="5137" max="5137" width="10" style="1457" customWidth="1"/>
    <col min="5138" max="5139" width="17" style="1457" customWidth="1"/>
    <col min="5140" max="5376" width="8.86328125" style="1457"/>
    <col min="5377" max="5377" width="118.265625" style="1457" customWidth="1"/>
    <col min="5378" max="5378" width="26.86328125" style="1457" customWidth="1"/>
    <col min="5379" max="5379" width="20" style="1457" customWidth="1"/>
    <col min="5380" max="5380" width="29.73046875" style="1457" bestFit="1" customWidth="1"/>
    <col min="5381" max="5381" width="33.265625" style="1457" customWidth="1"/>
    <col min="5382" max="5382" width="27.73046875" style="1457" customWidth="1"/>
    <col min="5383" max="5383" width="22.265625" style="1457" customWidth="1"/>
    <col min="5384" max="5384" width="32" style="1457" customWidth="1"/>
    <col min="5385" max="5385" width="23.265625" style="1457" customWidth="1"/>
    <col min="5386" max="5386" width="18" style="1457" customWidth="1"/>
    <col min="5387" max="5387" width="16.73046875" style="1457" customWidth="1"/>
    <col min="5388" max="5388" width="13.265625" style="1457" customWidth="1"/>
    <col min="5389" max="5389" width="15.265625" style="1457" customWidth="1"/>
    <col min="5390" max="5390" width="11" style="1457" customWidth="1"/>
    <col min="5391" max="5392" width="9.73046875" style="1457" customWidth="1"/>
    <col min="5393" max="5393" width="10" style="1457" customWidth="1"/>
    <col min="5394" max="5395" width="17" style="1457" customWidth="1"/>
    <col min="5396" max="5632" width="8.86328125" style="1457"/>
    <col min="5633" max="5633" width="118.265625" style="1457" customWidth="1"/>
    <col min="5634" max="5634" width="26.86328125" style="1457" customWidth="1"/>
    <col min="5635" max="5635" width="20" style="1457" customWidth="1"/>
    <col min="5636" max="5636" width="29.73046875" style="1457" bestFit="1" customWidth="1"/>
    <col min="5637" max="5637" width="33.265625" style="1457" customWidth="1"/>
    <col min="5638" max="5638" width="27.73046875" style="1457" customWidth="1"/>
    <col min="5639" max="5639" width="22.265625" style="1457" customWidth="1"/>
    <col min="5640" max="5640" width="32" style="1457" customWidth="1"/>
    <col min="5641" max="5641" width="23.265625" style="1457" customWidth="1"/>
    <col min="5642" max="5642" width="18" style="1457" customWidth="1"/>
    <col min="5643" max="5643" width="16.73046875" style="1457" customWidth="1"/>
    <col min="5644" max="5644" width="13.265625" style="1457" customWidth="1"/>
    <col min="5645" max="5645" width="15.265625" style="1457" customWidth="1"/>
    <col min="5646" max="5646" width="11" style="1457" customWidth="1"/>
    <col min="5647" max="5648" width="9.73046875" style="1457" customWidth="1"/>
    <col min="5649" max="5649" width="10" style="1457" customWidth="1"/>
    <col min="5650" max="5651" width="17" style="1457" customWidth="1"/>
    <col min="5652" max="5888" width="8.86328125" style="1457"/>
    <col min="5889" max="5889" width="118.265625" style="1457" customWidth="1"/>
    <col min="5890" max="5890" width="26.86328125" style="1457" customWidth="1"/>
    <col min="5891" max="5891" width="20" style="1457" customWidth="1"/>
    <col min="5892" max="5892" width="29.73046875" style="1457" bestFit="1" customWidth="1"/>
    <col min="5893" max="5893" width="33.265625" style="1457" customWidth="1"/>
    <col min="5894" max="5894" width="27.73046875" style="1457" customWidth="1"/>
    <col min="5895" max="5895" width="22.265625" style="1457" customWidth="1"/>
    <col min="5896" max="5896" width="32" style="1457" customWidth="1"/>
    <col min="5897" max="5897" width="23.265625" style="1457" customWidth="1"/>
    <col min="5898" max="5898" width="18" style="1457" customWidth="1"/>
    <col min="5899" max="5899" width="16.73046875" style="1457" customWidth="1"/>
    <col min="5900" max="5900" width="13.265625" style="1457" customWidth="1"/>
    <col min="5901" max="5901" width="15.265625" style="1457" customWidth="1"/>
    <col min="5902" max="5902" width="11" style="1457" customWidth="1"/>
    <col min="5903" max="5904" width="9.73046875" style="1457" customWidth="1"/>
    <col min="5905" max="5905" width="10" style="1457" customWidth="1"/>
    <col min="5906" max="5907" width="17" style="1457" customWidth="1"/>
    <col min="5908" max="6144" width="8.86328125" style="1457"/>
    <col min="6145" max="6145" width="118.265625" style="1457" customWidth="1"/>
    <col min="6146" max="6146" width="26.86328125" style="1457" customWidth="1"/>
    <col min="6147" max="6147" width="20" style="1457" customWidth="1"/>
    <col min="6148" max="6148" width="29.73046875" style="1457" bestFit="1" customWidth="1"/>
    <col min="6149" max="6149" width="33.265625" style="1457" customWidth="1"/>
    <col min="6150" max="6150" width="27.73046875" style="1457" customWidth="1"/>
    <col min="6151" max="6151" width="22.265625" style="1457" customWidth="1"/>
    <col min="6152" max="6152" width="32" style="1457" customWidth="1"/>
    <col min="6153" max="6153" width="23.265625" style="1457" customWidth="1"/>
    <col min="6154" max="6154" width="18" style="1457" customWidth="1"/>
    <col min="6155" max="6155" width="16.73046875" style="1457" customWidth="1"/>
    <col min="6156" max="6156" width="13.265625" style="1457" customWidth="1"/>
    <col min="6157" max="6157" width="15.265625" style="1457" customWidth="1"/>
    <col min="6158" max="6158" width="11" style="1457" customWidth="1"/>
    <col min="6159" max="6160" width="9.73046875" style="1457" customWidth="1"/>
    <col min="6161" max="6161" width="10" style="1457" customWidth="1"/>
    <col min="6162" max="6163" width="17" style="1457" customWidth="1"/>
    <col min="6164" max="6400" width="8.86328125" style="1457"/>
    <col min="6401" max="6401" width="118.265625" style="1457" customWidth="1"/>
    <col min="6402" max="6402" width="26.86328125" style="1457" customWidth="1"/>
    <col min="6403" max="6403" width="20" style="1457" customWidth="1"/>
    <col min="6404" max="6404" width="29.73046875" style="1457" bestFit="1" customWidth="1"/>
    <col min="6405" max="6405" width="33.265625" style="1457" customWidth="1"/>
    <col min="6406" max="6406" width="27.73046875" style="1457" customWidth="1"/>
    <col min="6407" max="6407" width="22.265625" style="1457" customWidth="1"/>
    <col min="6408" max="6408" width="32" style="1457" customWidth="1"/>
    <col min="6409" max="6409" width="23.265625" style="1457" customWidth="1"/>
    <col min="6410" max="6410" width="18" style="1457" customWidth="1"/>
    <col min="6411" max="6411" width="16.73046875" style="1457" customWidth="1"/>
    <col min="6412" max="6412" width="13.265625" style="1457" customWidth="1"/>
    <col min="6413" max="6413" width="15.265625" style="1457" customWidth="1"/>
    <col min="6414" max="6414" width="11" style="1457" customWidth="1"/>
    <col min="6415" max="6416" width="9.73046875" style="1457" customWidth="1"/>
    <col min="6417" max="6417" width="10" style="1457" customWidth="1"/>
    <col min="6418" max="6419" width="17" style="1457" customWidth="1"/>
    <col min="6420" max="6656" width="8.86328125" style="1457"/>
    <col min="6657" max="6657" width="118.265625" style="1457" customWidth="1"/>
    <col min="6658" max="6658" width="26.86328125" style="1457" customWidth="1"/>
    <col min="6659" max="6659" width="20" style="1457" customWidth="1"/>
    <col min="6660" max="6660" width="29.73046875" style="1457" bestFit="1" customWidth="1"/>
    <col min="6661" max="6661" width="33.265625" style="1457" customWidth="1"/>
    <col min="6662" max="6662" width="27.73046875" style="1457" customWidth="1"/>
    <col min="6663" max="6663" width="22.265625" style="1457" customWidth="1"/>
    <col min="6664" max="6664" width="32" style="1457" customWidth="1"/>
    <col min="6665" max="6665" width="23.265625" style="1457" customWidth="1"/>
    <col min="6666" max="6666" width="18" style="1457" customWidth="1"/>
    <col min="6667" max="6667" width="16.73046875" style="1457" customWidth="1"/>
    <col min="6668" max="6668" width="13.265625" style="1457" customWidth="1"/>
    <col min="6669" max="6669" width="15.265625" style="1457" customWidth="1"/>
    <col min="6670" max="6670" width="11" style="1457" customWidth="1"/>
    <col min="6671" max="6672" width="9.73046875" style="1457" customWidth="1"/>
    <col min="6673" max="6673" width="10" style="1457" customWidth="1"/>
    <col min="6674" max="6675" width="17" style="1457" customWidth="1"/>
    <col min="6676" max="6912" width="8.86328125" style="1457"/>
    <col min="6913" max="6913" width="118.265625" style="1457" customWidth="1"/>
    <col min="6914" max="6914" width="26.86328125" style="1457" customWidth="1"/>
    <col min="6915" max="6915" width="20" style="1457" customWidth="1"/>
    <col min="6916" max="6916" width="29.73046875" style="1457" bestFit="1" customWidth="1"/>
    <col min="6917" max="6917" width="33.265625" style="1457" customWidth="1"/>
    <col min="6918" max="6918" width="27.73046875" style="1457" customWidth="1"/>
    <col min="6919" max="6919" width="22.265625" style="1457" customWidth="1"/>
    <col min="6920" max="6920" width="32" style="1457" customWidth="1"/>
    <col min="6921" max="6921" width="23.265625" style="1457" customWidth="1"/>
    <col min="6922" max="6922" width="18" style="1457" customWidth="1"/>
    <col min="6923" max="6923" width="16.73046875" style="1457" customWidth="1"/>
    <col min="6924" max="6924" width="13.265625" style="1457" customWidth="1"/>
    <col min="6925" max="6925" width="15.265625" style="1457" customWidth="1"/>
    <col min="6926" max="6926" width="11" style="1457" customWidth="1"/>
    <col min="6927" max="6928" width="9.73046875" style="1457" customWidth="1"/>
    <col min="6929" max="6929" width="10" style="1457" customWidth="1"/>
    <col min="6930" max="6931" width="17" style="1457" customWidth="1"/>
    <col min="6932" max="7168" width="8.86328125" style="1457"/>
    <col min="7169" max="7169" width="118.265625" style="1457" customWidth="1"/>
    <col min="7170" max="7170" width="26.86328125" style="1457" customWidth="1"/>
    <col min="7171" max="7171" width="20" style="1457" customWidth="1"/>
    <col min="7172" max="7172" width="29.73046875" style="1457" bestFit="1" customWidth="1"/>
    <col min="7173" max="7173" width="33.265625" style="1457" customWidth="1"/>
    <col min="7174" max="7174" width="27.73046875" style="1457" customWidth="1"/>
    <col min="7175" max="7175" width="22.265625" style="1457" customWidth="1"/>
    <col min="7176" max="7176" width="32" style="1457" customWidth="1"/>
    <col min="7177" max="7177" width="23.265625" style="1457" customWidth="1"/>
    <col min="7178" max="7178" width="18" style="1457" customWidth="1"/>
    <col min="7179" max="7179" width="16.73046875" style="1457" customWidth="1"/>
    <col min="7180" max="7180" width="13.265625" style="1457" customWidth="1"/>
    <col min="7181" max="7181" width="15.265625" style="1457" customWidth="1"/>
    <col min="7182" max="7182" width="11" style="1457" customWidth="1"/>
    <col min="7183" max="7184" width="9.73046875" style="1457" customWidth="1"/>
    <col min="7185" max="7185" width="10" style="1457" customWidth="1"/>
    <col min="7186" max="7187" width="17" style="1457" customWidth="1"/>
    <col min="7188" max="7424" width="8.86328125" style="1457"/>
    <col min="7425" max="7425" width="118.265625" style="1457" customWidth="1"/>
    <col min="7426" max="7426" width="26.86328125" style="1457" customWidth="1"/>
    <col min="7427" max="7427" width="20" style="1457" customWidth="1"/>
    <col min="7428" max="7428" width="29.73046875" style="1457" bestFit="1" customWidth="1"/>
    <col min="7429" max="7429" width="33.265625" style="1457" customWidth="1"/>
    <col min="7430" max="7430" width="27.73046875" style="1457" customWidth="1"/>
    <col min="7431" max="7431" width="22.265625" style="1457" customWidth="1"/>
    <col min="7432" max="7432" width="32" style="1457" customWidth="1"/>
    <col min="7433" max="7433" width="23.265625" style="1457" customWidth="1"/>
    <col min="7434" max="7434" width="18" style="1457" customWidth="1"/>
    <col min="7435" max="7435" width="16.73046875" style="1457" customWidth="1"/>
    <col min="7436" max="7436" width="13.265625" style="1457" customWidth="1"/>
    <col min="7437" max="7437" width="15.265625" style="1457" customWidth="1"/>
    <col min="7438" max="7438" width="11" style="1457" customWidth="1"/>
    <col min="7439" max="7440" width="9.73046875" style="1457" customWidth="1"/>
    <col min="7441" max="7441" width="10" style="1457" customWidth="1"/>
    <col min="7442" max="7443" width="17" style="1457" customWidth="1"/>
    <col min="7444" max="7680" width="8.86328125" style="1457"/>
    <col min="7681" max="7681" width="118.265625" style="1457" customWidth="1"/>
    <col min="7682" max="7682" width="26.86328125" style="1457" customWidth="1"/>
    <col min="7683" max="7683" width="20" style="1457" customWidth="1"/>
    <col min="7684" max="7684" width="29.73046875" style="1457" bestFit="1" customWidth="1"/>
    <col min="7685" max="7685" width="33.265625" style="1457" customWidth="1"/>
    <col min="7686" max="7686" width="27.73046875" style="1457" customWidth="1"/>
    <col min="7687" max="7687" width="22.265625" style="1457" customWidth="1"/>
    <col min="7688" max="7688" width="32" style="1457" customWidth="1"/>
    <col min="7689" max="7689" width="23.265625" style="1457" customWidth="1"/>
    <col min="7690" max="7690" width="18" style="1457" customWidth="1"/>
    <col min="7691" max="7691" width="16.73046875" style="1457" customWidth="1"/>
    <col min="7692" max="7692" width="13.265625" style="1457" customWidth="1"/>
    <col min="7693" max="7693" width="15.265625" style="1457" customWidth="1"/>
    <col min="7694" max="7694" width="11" style="1457" customWidth="1"/>
    <col min="7695" max="7696" width="9.73046875" style="1457" customWidth="1"/>
    <col min="7697" max="7697" width="10" style="1457" customWidth="1"/>
    <col min="7698" max="7699" width="17" style="1457" customWidth="1"/>
    <col min="7700" max="7936" width="8.86328125" style="1457"/>
    <col min="7937" max="7937" width="118.265625" style="1457" customWidth="1"/>
    <col min="7938" max="7938" width="26.86328125" style="1457" customWidth="1"/>
    <col min="7939" max="7939" width="20" style="1457" customWidth="1"/>
    <col min="7940" max="7940" width="29.73046875" style="1457" bestFit="1" customWidth="1"/>
    <col min="7941" max="7941" width="33.265625" style="1457" customWidth="1"/>
    <col min="7942" max="7942" width="27.73046875" style="1457" customWidth="1"/>
    <col min="7943" max="7943" width="22.265625" style="1457" customWidth="1"/>
    <col min="7944" max="7944" width="32" style="1457" customWidth="1"/>
    <col min="7945" max="7945" width="23.265625" style="1457" customWidth="1"/>
    <col min="7946" max="7946" width="18" style="1457" customWidth="1"/>
    <col min="7947" max="7947" width="16.73046875" style="1457" customWidth="1"/>
    <col min="7948" max="7948" width="13.265625" style="1457" customWidth="1"/>
    <col min="7949" max="7949" width="15.265625" style="1457" customWidth="1"/>
    <col min="7950" max="7950" width="11" style="1457" customWidth="1"/>
    <col min="7951" max="7952" width="9.73046875" style="1457" customWidth="1"/>
    <col min="7953" max="7953" width="10" style="1457" customWidth="1"/>
    <col min="7954" max="7955" width="17" style="1457" customWidth="1"/>
    <col min="7956" max="8192" width="8.86328125" style="1457"/>
    <col min="8193" max="8193" width="118.265625" style="1457" customWidth="1"/>
    <col min="8194" max="8194" width="26.86328125" style="1457" customWidth="1"/>
    <col min="8195" max="8195" width="20" style="1457" customWidth="1"/>
    <col min="8196" max="8196" width="29.73046875" style="1457" bestFit="1" customWidth="1"/>
    <col min="8197" max="8197" width="33.265625" style="1457" customWidth="1"/>
    <col min="8198" max="8198" width="27.73046875" style="1457" customWidth="1"/>
    <col min="8199" max="8199" width="22.265625" style="1457" customWidth="1"/>
    <col min="8200" max="8200" width="32" style="1457" customWidth="1"/>
    <col min="8201" max="8201" width="23.265625" style="1457" customWidth="1"/>
    <col min="8202" max="8202" width="18" style="1457" customWidth="1"/>
    <col min="8203" max="8203" width="16.73046875" style="1457" customWidth="1"/>
    <col min="8204" max="8204" width="13.265625" style="1457" customWidth="1"/>
    <col min="8205" max="8205" width="15.265625" style="1457" customWidth="1"/>
    <col min="8206" max="8206" width="11" style="1457" customWidth="1"/>
    <col min="8207" max="8208" width="9.73046875" style="1457" customWidth="1"/>
    <col min="8209" max="8209" width="10" style="1457" customWidth="1"/>
    <col min="8210" max="8211" width="17" style="1457" customWidth="1"/>
    <col min="8212" max="8448" width="8.86328125" style="1457"/>
    <col min="8449" max="8449" width="118.265625" style="1457" customWidth="1"/>
    <col min="8450" max="8450" width="26.86328125" style="1457" customWidth="1"/>
    <col min="8451" max="8451" width="20" style="1457" customWidth="1"/>
    <col min="8452" max="8452" width="29.73046875" style="1457" bestFit="1" customWidth="1"/>
    <col min="8453" max="8453" width="33.265625" style="1457" customWidth="1"/>
    <col min="8454" max="8454" width="27.73046875" style="1457" customWidth="1"/>
    <col min="8455" max="8455" width="22.265625" style="1457" customWidth="1"/>
    <col min="8456" max="8456" width="32" style="1457" customWidth="1"/>
    <col min="8457" max="8457" width="23.265625" style="1457" customWidth="1"/>
    <col min="8458" max="8458" width="18" style="1457" customWidth="1"/>
    <col min="8459" max="8459" width="16.73046875" style="1457" customWidth="1"/>
    <col min="8460" max="8460" width="13.265625" style="1457" customWidth="1"/>
    <col min="8461" max="8461" width="15.265625" style="1457" customWidth="1"/>
    <col min="8462" max="8462" width="11" style="1457" customWidth="1"/>
    <col min="8463" max="8464" width="9.73046875" style="1457" customWidth="1"/>
    <col min="8465" max="8465" width="10" style="1457" customWidth="1"/>
    <col min="8466" max="8467" width="17" style="1457" customWidth="1"/>
    <col min="8468" max="8704" width="8.86328125" style="1457"/>
    <col min="8705" max="8705" width="118.265625" style="1457" customWidth="1"/>
    <col min="8706" max="8706" width="26.86328125" style="1457" customWidth="1"/>
    <col min="8707" max="8707" width="20" style="1457" customWidth="1"/>
    <col min="8708" max="8708" width="29.73046875" style="1457" bestFit="1" customWidth="1"/>
    <col min="8709" max="8709" width="33.265625" style="1457" customWidth="1"/>
    <col min="8710" max="8710" width="27.73046875" style="1457" customWidth="1"/>
    <col min="8711" max="8711" width="22.265625" style="1457" customWidth="1"/>
    <col min="8712" max="8712" width="32" style="1457" customWidth="1"/>
    <col min="8713" max="8713" width="23.265625" style="1457" customWidth="1"/>
    <col min="8714" max="8714" width="18" style="1457" customWidth="1"/>
    <col min="8715" max="8715" width="16.73046875" style="1457" customWidth="1"/>
    <col min="8716" max="8716" width="13.265625" style="1457" customWidth="1"/>
    <col min="8717" max="8717" width="15.265625" style="1457" customWidth="1"/>
    <col min="8718" max="8718" width="11" style="1457" customWidth="1"/>
    <col min="8719" max="8720" width="9.73046875" style="1457" customWidth="1"/>
    <col min="8721" max="8721" width="10" style="1457" customWidth="1"/>
    <col min="8722" max="8723" width="17" style="1457" customWidth="1"/>
    <col min="8724" max="8960" width="8.86328125" style="1457"/>
    <col min="8961" max="8961" width="118.265625" style="1457" customWidth="1"/>
    <col min="8962" max="8962" width="26.86328125" style="1457" customWidth="1"/>
    <col min="8963" max="8963" width="20" style="1457" customWidth="1"/>
    <col min="8964" max="8964" width="29.73046875" style="1457" bestFit="1" customWidth="1"/>
    <col min="8965" max="8965" width="33.265625" style="1457" customWidth="1"/>
    <col min="8966" max="8966" width="27.73046875" style="1457" customWidth="1"/>
    <col min="8967" max="8967" width="22.265625" style="1457" customWidth="1"/>
    <col min="8968" max="8968" width="32" style="1457" customWidth="1"/>
    <col min="8969" max="8969" width="23.265625" style="1457" customWidth="1"/>
    <col min="8970" max="8970" width="18" style="1457" customWidth="1"/>
    <col min="8971" max="8971" width="16.73046875" style="1457" customWidth="1"/>
    <col min="8972" max="8972" width="13.265625" style="1457" customWidth="1"/>
    <col min="8973" max="8973" width="15.265625" style="1457" customWidth="1"/>
    <col min="8974" max="8974" width="11" style="1457" customWidth="1"/>
    <col min="8975" max="8976" width="9.73046875" style="1457" customWidth="1"/>
    <col min="8977" max="8977" width="10" style="1457" customWidth="1"/>
    <col min="8978" max="8979" width="17" style="1457" customWidth="1"/>
    <col min="8980" max="9216" width="8.86328125" style="1457"/>
    <col min="9217" max="9217" width="118.265625" style="1457" customWidth="1"/>
    <col min="9218" max="9218" width="26.86328125" style="1457" customWidth="1"/>
    <col min="9219" max="9219" width="20" style="1457" customWidth="1"/>
    <col min="9220" max="9220" width="29.73046875" style="1457" bestFit="1" customWidth="1"/>
    <col min="9221" max="9221" width="33.265625" style="1457" customWidth="1"/>
    <col min="9222" max="9222" width="27.73046875" style="1457" customWidth="1"/>
    <col min="9223" max="9223" width="22.265625" style="1457" customWidth="1"/>
    <col min="9224" max="9224" width="32" style="1457" customWidth="1"/>
    <col min="9225" max="9225" width="23.265625" style="1457" customWidth="1"/>
    <col min="9226" max="9226" width="18" style="1457" customWidth="1"/>
    <col min="9227" max="9227" width="16.73046875" style="1457" customWidth="1"/>
    <col min="9228" max="9228" width="13.265625" style="1457" customWidth="1"/>
    <col min="9229" max="9229" width="15.265625" style="1457" customWidth="1"/>
    <col min="9230" max="9230" width="11" style="1457" customWidth="1"/>
    <col min="9231" max="9232" width="9.73046875" style="1457" customWidth="1"/>
    <col min="9233" max="9233" width="10" style="1457" customWidth="1"/>
    <col min="9234" max="9235" width="17" style="1457" customWidth="1"/>
    <col min="9236" max="9472" width="8.86328125" style="1457"/>
    <col min="9473" max="9473" width="118.265625" style="1457" customWidth="1"/>
    <col min="9474" max="9474" width="26.86328125" style="1457" customWidth="1"/>
    <col min="9475" max="9475" width="20" style="1457" customWidth="1"/>
    <col min="9476" max="9476" width="29.73046875" style="1457" bestFit="1" customWidth="1"/>
    <col min="9477" max="9477" width="33.265625" style="1457" customWidth="1"/>
    <col min="9478" max="9478" width="27.73046875" style="1457" customWidth="1"/>
    <col min="9479" max="9479" width="22.265625" style="1457" customWidth="1"/>
    <col min="9480" max="9480" width="32" style="1457" customWidth="1"/>
    <col min="9481" max="9481" width="23.265625" style="1457" customWidth="1"/>
    <col min="9482" max="9482" width="18" style="1457" customWidth="1"/>
    <col min="9483" max="9483" width="16.73046875" style="1457" customWidth="1"/>
    <col min="9484" max="9484" width="13.265625" style="1457" customWidth="1"/>
    <col min="9485" max="9485" width="15.265625" style="1457" customWidth="1"/>
    <col min="9486" max="9486" width="11" style="1457" customWidth="1"/>
    <col min="9487" max="9488" width="9.73046875" style="1457" customWidth="1"/>
    <col min="9489" max="9489" width="10" style="1457" customWidth="1"/>
    <col min="9490" max="9491" width="17" style="1457" customWidth="1"/>
    <col min="9492" max="9728" width="8.86328125" style="1457"/>
    <col min="9729" max="9729" width="118.265625" style="1457" customWidth="1"/>
    <col min="9730" max="9730" width="26.86328125" style="1457" customWidth="1"/>
    <col min="9731" max="9731" width="20" style="1457" customWidth="1"/>
    <col min="9732" max="9732" width="29.73046875" style="1457" bestFit="1" customWidth="1"/>
    <col min="9733" max="9733" width="33.265625" style="1457" customWidth="1"/>
    <col min="9734" max="9734" width="27.73046875" style="1457" customWidth="1"/>
    <col min="9735" max="9735" width="22.265625" style="1457" customWidth="1"/>
    <col min="9736" max="9736" width="32" style="1457" customWidth="1"/>
    <col min="9737" max="9737" width="23.265625" style="1457" customWidth="1"/>
    <col min="9738" max="9738" width="18" style="1457" customWidth="1"/>
    <col min="9739" max="9739" width="16.73046875" style="1457" customWidth="1"/>
    <col min="9740" max="9740" width="13.265625" style="1457" customWidth="1"/>
    <col min="9741" max="9741" width="15.265625" style="1457" customWidth="1"/>
    <col min="9742" max="9742" width="11" style="1457" customWidth="1"/>
    <col min="9743" max="9744" width="9.73046875" style="1457" customWidth="1"/>
    <col min="9745" max="9745" width="10" style="1457" customWidth="1"/>
    <col min="9746" max="9747" width="17" style="1457" customWidth="1"/>
    <col min="9748" max="9984" width="8.86328125" style="1457"/>
    <col min="9985" max="9985" width="118.265625" style="1457" customWidth="1"/>
    <col min="9986" max="9986" width="26.86328125" style="1457" customWidth="1"/>
    <col min="9987" max="9987" width="20" style="1457" customWidth="1"/>
    <col min="9988" max="9988" width="29.73046875" style="1457" bestFit="1" customWidth="1"/>
    <col min="9989" max="9989" width="33.265625" style="1457" customWidth="1"/>
    <col min="9990" max="9990" width="27.73046875" style="1457" customWidth="1"/>
    <col min="9991" max="9991" width="22.265625" style="1457" customWidth="1"/>
    <col min="9992" max="9992" width="32" style="1457" customWidth="1"/>
    <col min="9993" max="9993" width="23.265625" style="1457" customWidth="1"/>
    <col min="9994" max="9994" width="18" style="1457" customWidth="1"/>
    <col min="9995" max="9995" width="16.73046875" style="1457" customWidth="1"/>
    <col min="9996" max="9996" width="13.265625" style="1457" customWidth="1"/>
    <col min="9997" max="9997" width="15.265625" style="1457" customWidth="1"/>
    <col min="9998" max="9998" width="11" style="1457" customWidth="1"/>
    <col min="9999" max="10000" width="9.73046875" style="1457" customWidth="1"/>
    <col min="10001" max="10001" width="10" style="1457" customWidth="1"/>
    <col min="10002" max="10003" width="17" style="1457" customWidth="1"/>
    <col min="10004" max="10240" width="8.86328125" style="1457"/>
    <col min="10241" max="10241" width="118.265625" style="1457" customWidth="1"/>
    <col min="10242" max="10242" width="26.86328125" style="1457" customWidth="1"/>
    <col min="10243" max="10243" width="20" style="1457" customWidth="1"/>
    <col min="10244" max="10244" width="29.73046875" style="1457" bestFit="1" customWidth="1"/>
    <col min="10245" max="10245" width="33.265625" style="1457" customWidth="1"/>
    <col min="10246" max="10246" width="27.73046875" style="1457" customWidth="1"/>
    <col min="10247" max="10247" width="22.265625" style="1457" customWidth="1"/>
    <col min="10248" max="10248" width="32" style="1457" customWidth="1"/>
    <col min="10249" max="10249" width="23.265625" style="1457" customWidth="1"/>
    <col min="10250" max="10250" width="18" style="1457" customWidth="1"/>
    <col min="10251" max="10251" width="16.73046875" style="1457" customWidth="1"/>
    <col min="10252" max="10252" width="13.265625" style="1457" customWidth="1"/>
    <col min="10253" max="10253" width="15.265625" style="1457" customWidth="1"/>
    <col min="10254" max="10254" width="11" style="1457" customWidth="1"/>
    <col min="10255" max="10256" width="9.73046875" style="1457" customWidth="1"/>
    <col min="10257" max="10257" width="10" style="1457" customWidth="1"/>
    <col min="10258" max="10259" width="17" style="1457" customWidth="1"/>
    <col min="10260" max="10496" width="8.86328125" style="1457"/>
    <col min="10497" max="10497" width="118.265625" style="1457" customWidth="1"/>
    <col min="10498" max="10498" width="26.86328125" style="1457" customWidth="1"/>
    <col min="10499" max="10499" width="20" style="1457" customWidth="1"/>
    <col min="10500" max="10500" width="29.73046875" style="1457" bestFit="1" customWidth="1"/>
    <col min="10501" max="10501" width="33.265625" style="1457" customWidth="1"/>
    <col min="10502" max="10502" width="27.73046875" style="1457" customWidth="1"/>
    <col min="10503" max="10503" width="22.265625" style="1457" customWidth="1"/>
    <col min="10504" max="10504" width="32" style="1457" customWidth="1"/>
    <col min="10505" max="10505" width="23.265625" style="1457" customWidth="1"/>
    <col min="10506" max="10506" width="18" style="1457" customWidth="1"/>
    <col min="10507" max="10507" width="16.73046875" style="1457" customWidth="1"/>
    <col min="10508" max="10508" width="13.265625" style="1457" customWidth="1"/>
    <col min="10509" max="10509" width="15.265625" style="1457" customWidth="1"/>
    <col min="10510" max="10510" width="11" style="1457" customWidth="1"/>
    <col min="10511" max="10512" width="9.73046875" style="1457" customWidth="1"/>
    <col min="10513" max="10513" width="10" style="1457" customWidth="1"/>
    <col min="10514" max="10515" width="17" style="1457" customWidth="1"/>
    <col min="10516" max="10752" width="8.86328125" style="1457"/>
    <col min="10753" max="10753" width="118.265625" style="1457" customWidth="1"/>
    <col min="10754" max="10754" width="26.86328125" style="1457" customWidth="1"/>
    <col min="10755" max="10755" width="20" style="1457" customWidth="1"/>
    <col min="10756" max="10756" width="29.73046875" style="1457" bestFit="1" customWidth="1"/>
    <col min="10757" max="10757" width="33.265625" style="1457" customWidth="1"/>
    <col min="10758" max="10758" width="27.73046875" style="1457" customWidth="1"/>
    <col min="10759" max="10759" width="22.265625" style="1457" customWidth="1"/>
    <col min="10760" max="10760" width="32" style="1457" customWidth="1"/>
    <col min="10761" max="10761" width="23.265625" style="1457" customWidth="1"/>
    <col min="10762" max="10762" width="18" style="1457" customWidth="1"/>
    <col min="10763" max="10763" width="16.73046875" style="1457" customWidth="1"/>
    <col min="10764" max="10764" width="13.265625" style="1457" customWidth="1"/>
    <col min="10765" max="10765" width="15.265625" style="1457" customWidth="1"/>
    <col min="10766" max="10766" width="11" style="1457" customWidth="1"/>
    <col min="10767" max="10768" width="9.73046875" style="1457" customWidth="1"/>
    <col min="10769" max="10769" width="10" style="1457" customWidth="1"/>
    <col min="10770" max="10771" width="17" style="1457" customWidth="1"/>
    <col min="10772" max="11008" width="8.86328125" style="1457"/>
    <col min="11009" max="11009" width="118.265625" style="1457" customWidth="1"/>
    <col min="11010" max="11010" width="26.86328125" style="1457" customWidth="1"/>
    <col min="11011" max="11011" width="20" style="1457" customWidth="1"/>
    <col min="11012" max="11012" width="29.73046875" style="1457" bestFit="1" customWidth="1"/>
    <col min="11013" max="11013" width="33.265625" style="1457" customWidth="1"/>
    <col min="11014" max="11014" width="27.73046875" style="1457" customWidth="1"/>
    <col min="11015" max="11015" width="22.265625" style="1457" customWidth="1"/>
    <col min="11016" max="11016" width="32" style="1457" customWidth="1"/>
    <col min="11017" max="11017" width="23.265625" style="1457" customWidth="1"/>
    <col min="11018" max="11018" width="18" style="1457" customWidth="1"/>
    <col min="11019" max="11019" width="16.73046875" style="1457" customWidth="1"/>
    <col min="11020" max="11020" width="13.265625" style="1457" customWidth="1"/>
    <col min="11021" max="11021" width="15.265625" style="1457" customWidth="1"/>
    <col min="11022" max="11022" width="11" style="1457" customWidth="1"/>
    <col min="11023" max="11024" width="9.73046875" style="1457" customWidth="1"/>
    <col min="11025" max="11025" width="10" style="1457" customWidth="1"/>
    <col min="11026" max="11027" width="17" style="1457" customWidth="1"/>
    <col min="11028" max="11264" width="8.86328125" style="1457"/>
    <col min="11265" max="11265" width="118.265625" style="1457" customWidth="1"/>
    <col min="11266" max="11266" width="26.86328125" style="1457" customWidth="1"/>
    <col min="11267" max="11267" width="20" style="1457" customWidth="1"/>
    <col min="11268" max="11268" width="29.73046875" style="1457" bestFit="1" customWidth="1"/>
    <col min="11269" max="11269" width="33.265625" style="1457" customWidth="1"/>
    <col min="11270" max="11270" width="27.73046875" style="1457" customWidth="1"/>
    <col min="11271" max="11271" width="22.265625" style="1457" customWidth="1"/>
    <col min="11272" max="11272" width="32" style="1457" customWidth="1"/>
    <col min="11273" max="11273" width="23.265625" style="1457" customWidth="1"/>
    <col min="11274" max="11274" width="18" style="1457" customWidth="1"/>
    <col min="11275" max="11275" width="16.73046875" style="1457" customWidth="1"/>
    <col min="11276" max="11276" width="13.265625" style="1457" customWidth="1"/>
    <col min="11277" max="11277" width="15.265625" style="1457" customWidth="1"/>
    <col min="11278" max="11278" width="11" style="1457" customWidth="1"/>
    <col min="11279" max="11280" width="9.73046875" style="1457" customWidth="1"/>
    <col min="11281" max="11281" width="10" style="1457" customWidth="1"/>
    <col min="11282" max="11283" width="17" style="1457" customWidth="1"/>
    <col min="11284" max="11520" width="8.86328125" style="1457"/>
    <col min="11521" max="11521" width="118.265625" style="1457" customWidth="1"/>
    <col min="11522" max="11522" width="26.86328125" style="1457" customWidth="1"/>
    <col min="11523" max="11523" width="20" style="1457" customWidth="1"/>
    <col min="11524" max="11524" width="29.73046875" style="1457" bestFit="1" customWidth="1"/>
    <col min="11525" max="11525" width="33.265625" style="1457" customWidth="1"/>
    <col min="11526" max="11526" width="27.73046875" style="1457" customWidth="1"/>
    <col min="11527" max="11527" width="22.265625" style="1457" customWidth="1"/>
    <col min="11528" max="11528" width="32" style="1457" customWidth="1"/>
    <col min="11529" max="11529" width="23.265625" style="1457" customWidth="1"/>
    <col min="11530" max="11530" width="18" style="1457" customWidth="1"/>
    <col min="11531" max="11531" width="16.73046875" style="1457" customWidth="1"/>
    <col min="11532" max="11532" width="13.265625" style="1457" customWidth="1"/>
    <col min="11533" max="11533" width="15.265625" style="1457" customWidth="1"/>
    <col min="11534" max="11534" width="11" style="1457" customWidth="1"/>
    <col min="11535" max="11536" width="9.73046875" style="1457" customWidth="1"/>
    <col min="11537" max="11537" width="10" style="1457" customWidth="1"/>
    <col min="11538" max="11539" width="17" style="1457" customWidth="1"/>
    <col min="11540" max="11776" width="8.86328125" style="1457"/>
    <col min="11777" max="11777" width="118.265625" style="1457" customWidth="1"/>
    <col min="11778" max="11778" width="26.86328125" style="1457" customWidth="1"/>
    <col min="11779" max="11779" width="20" style="1457" customWidth="1"/>
    <col min="11780" max="11780" width="29.73046875" style="1457" bestFit="1" customWidth="1"/>
    <col min="11781" max="11781" width="33.265625" style="1457" customWidth="1"/>
    <col min="11782" max="11782" width="27.73046875" style="1457" customWidth="1"/>
    <col min="11783" max="11783" width="22.265625" style="1457" customWidth="1"/>
    <col min="11784" max="11784" width="32" style="1457" customWidth="1"/>
    <col min="11785" max="11785" width="23.265625" style="1457" customWidth="1"/>
    <col min="11786" max="11786" width="18" style="1457" customWidth="1"/>
    <col min="11787" max="11787" width="16.73046875" style="1457" customWidth="1"/>
    <col min="11788" max="11788" width="13.265625" style="1457" customWidth="1"/>
    <col min="11789" max="11789" width="15.265625" style="1457" customWidth="1"/>
    <col min="11790" max="11790" width="11" style="1457" customWidth="1"/>
    <col min="11791" max="11792" width="9.73046875" style="1457" customWidth="1"/>
    <col min="11793" max="11793" width="10" style="1457" customWidth="1"/>
    <col min="11794" max="11795" width="17" style="1457" customWidth="1"/>
    <col min="11796" max="12032" width="8.86328125" style="1457"/>
    <col min="12033" max="12033" width="118.265625" style="1457" customWidth="1"/>
    <col min="12034" max="12034" width="26.86328125" style="1457" customWidth="1"/>
    <col min="12035" max="12035" width="20" style="1457" customWidth="1"/>
    <col min="12036" max="12036" width="29.73046875" style="1457" bestFit="1" customWidth="1"/>
    <col min="12037" max="12037" width="33.265625" style="1457" customWidth="1"/>
    <col min="12038" max="12038" width="27.73046875" style="1457" customWidth="1"/>
    <col min="12039" max="12039" width="22.265625" style="1457" customWidth="1"/>
    <col min="12040" max="12040" width="32" style="1457" customWidth="1"/>
    <col min="12041" max="12041" width="23.265625" style="1457" customWidth="1"/>
    <col min="12042" max="12042" width="18" style="1457" customWidth="1"/>
    <col min="12043" max="12043" width="16.73046875" style="1457" customWidth="1"/>
    <col min="12044" max="12044" width="13.265625" style="1457" customWidth="1"/>
    <col min="12045" max="12045" width="15.265625" style="1457" customWidth="1"/>
    <col min="12046" max="12046" width="11" style="1457" customWidth="1"/>
    <col min="12047" max="12048" width="9.73046875" style="1457" customWidth="1"/>
    <col min="12049" max="12049" width="10" style="1457" customWidth="1"/>
    <col min="12050" max="12051" width="17" style="1457" customWidth="1"/>
    <col min="12052" max="12288" width="8.86328125" style="1457"/>
    <col min="12289" max="12289" width="118.265625" style="1457" customWidth="1"/>
    <col min="12290" max="12290" width="26.86328125" style="1457" customWidth="1"/>
    <col min="12291" max="12291" width="20" style="1457" customWidth="1"/>
    <col min="12292" max="12292" width="29.73046875" style="1457" bestFit="1" customWidth="1"/>
    <col min="12293" max="12293" width="33.265625" style="1457" customWidth="1"/>
    <col min="12294" max="12294" width="27.73046875" style="1457" customWidth="1"/>
    <col min="12295" max="12295" width="22.265625" style="1457" customWidth="1"/>
    <col min="12296" max="12296" width="32" style="1457" customWidth="1"/>
    <col min="12297" max="12297" width="23.265625" style="1457" customWidth="1"/>
    <col min="12298" max="12298" width="18" style="1457" customWidth="1"/>
    <col min="12299" max="12299" width="16.73046875" style="1457" customWidth="1"/>
    <col min="12300" max="12300" width="13.265625" style="1457" customWidth="1"/>
    <col min="12301" max="12301" width="15.265625" style="1457" customWidth="1"/>
    <col min="12302" max="12302" width="11" style="1457" customWidth="1"/>
    <col min="12303" max="12304" width="9.73046875" style="1457" customWidth="1"/>
    <col min="12305" max="12305" width="10" style="1457" customWidth="1"/>
    <col min="12306" max="12307" width="17" style="1457" customWidth="1"/>
    <col min="12308" max="12544" width="8.86328125" style="1457"/>
    <col min="12545" max="12545" width="118.265625" style="1457" customWidth="1"/>
    <col min="12546" max="12546" width="26.86328125" style="1457" customWidth="1"/>
    <col min="12547" max="12547" width="20" style="1457" customWidth="1"/>
    <col min="12548" max="12548" width="29.73046875" style="1457" bestFit="1" customWidth="1"/>
    <col min="12549" max="12549" width="33.265625" style="1457" customWidth="1"/>
    <col min="12550" max="12550" width="27.73046875" style="1457" customWidth="1"/>
    <col min="12551" max="12551" width="22.265625" style="1457" customWidth="1"/>
    <col min="12552" max="12552" width="32" style="1457" customWidth="1"/>
    <col min="12553" max="12553" width="23.265625" style="1457" customWidth="1"/>
    <col min="12554" max="12554" width="18" style="1457" customWidth="1"/>
    <col min="12555" max="12555" width="16.73046875" style="1457" customWidth="1"/>
    <col min="12556" max="12556" width="13.265625" style="1457" customWidth="1"/>
    <col min="12557" max="12557" width="15.265625" style="1457" customWidth="1"/>
    <col min="12558" max="12558" width="11" style="1457" customWidth="1"/>
    <col min="12559" max="12560" width="9.73046875" style="1457" customWidth="1"/>
    <col min="12561" max="12561" width="10" style="1457" customWidth="1"/>
    <col min="12562" max="12563" width="17" style="1457" customWidth="1"/>
    <col min="12564" max="12800" width="8.86328125" style="1457"/>
    <col min="12801" max="12801" width="118.265625" style="1457" customWidth="1"/>
    <col min="12802" max="12802" width="26.86328125" style="1457" customWidth="1"/>
    <col min="12803" max="12803" width="20" style="1457" customWidth="1"/>
    <col min="12804" max="12804" width="29.73046875" style="1457" bestFit="1" customWidth="1"/>
    <col min="12805" max="12805" width="33.265625" style="1457" customWidth="1"/>
    <col min="12806" max="12806" width="27.73046875" style="1457" customWidth="1"/>
    <col min="12807" max="12807" width="22.265625" style="1457" customWidth="1"/>
    <col min="12808" max="12808" width="32" style="1457" customWidth="1"/>
    <col min="12809" max="12809" width="23.265625" style="1457" customWidth="1"/>
    <col min="12810" max="12810" width="18" style="1457" customWidth="1"/>
    <col min="12811" max="12811" width="16.73046875" style="1457" customWidth="1"/>
    <col min="12812" max="12812" width="13.265625" style="1457" customWidth="1"/>
    <col min="12813" max="12813" width="15.265625" style="1457" customWidth="1"/>
    <col min="12814" max="12814" width="11" style="1457" customWidth="1"/>
    <col min="12815" max="12816" width="9.73046875" style="1457" customWidth="1"/>
    <col min="12817" max="12817" width="10" style="1457" customWidth="1"/>
    <col min="12818" max="12819" width="17" style="1457" customWidth="1"/>
    <col min="12820" max="13056" width="8.86328125" style="1457"/>
    <col min="13057" max="13057" width="118.265625" style="1457" customWidth="1"/>
    <col min="13058" max="13058" width="26.86328125" style="1457" customWidth="1"/>
    <col min="13059" max="13059" width="20" style="1457" customWidth="1"/>
    <col min="13060" max="13060" width="29.73046875" style="1457" bestFit="1" customWidth="1"/>
    <col min="13061" max="13061" width="33.265625" style="1457" customWidth="1"/>
    <col min="13062" max="13062" width="27.73046875" style="1457" customWidth="1"/>
    <col min="13063" max="13063" width="22.265625" style="1457" customWidth="1"/>
    <col min="13064" max="13064" width="32" style="1457" customWidth="1"/>
    <col min="13065" max="13065" width="23.265625" style="1457" customWidth="1"/>
    <col min="13066" max="13066" width="18" style="1457" customWidth="1"/>
    <col min="13067" max="13067" width="16.73046875" style="1457" customWidth="1"/>
    <col min="13068" max="13068" width="13.265625" style="1457" customWidth="1"/>
    <col min="13069" max="13069" width="15.265625" style="1457" customWidth="1"/>
    <col min="13070" max="13070" width="11" style="1457" customWidth="1"/>
    <col min="13071" max="13072" width="9.73046875" style="1457" customWidth="1"/>
    <col min="13073" max="13073" width="10" style="1457" customWidth="1"/>
    <col min="13074" max="13075" width="17" style="1457" customWidth="1"/>
    <col min="13076" max="13312" width="8.86328125" style="1457"/>
    <col min="13313" max="13313" width="118.265625" style="1457" customWidth="1"/>
    <col min="13314" max="13314" width="26.86328125" style="1457" customWidth="1"/>
    <col min="13315" max="13315" width="20" style="1457" customWidth="1"/>
    <col min="13316" max="13316" width="29.73046875" style="1457" bestFit="1" customWidth="1"/>
    <col min="13317" max="13317" width="33.265625" style="1457" customWidth="1"/>
    <col min="13318" max="13318" width="27.73046875" style="1457" customWidth="1"/>
    <col min="13319" max="13319" width="22.265625" style="1457" customWidth="1"/>
    <col min="13320" max="13320" width="32" style="1457" customWidth="1"/>
    <col min="13321" max="13321" width="23.265625" style="1457" customWidth="1"/>
    <col min="13322" max="13322" width="18" style="1457" customWidth="1"/>
    <col min="13323" max="13323" width="16.73046875" style="1457" customWidth="1"/>
    <col min="13324" max="13324" width="13.265625" style="1457" customWidth="1"/>
    <col min="13325" max="13325" width="15.265625" style="1457" customWidth="1"/>
    <col min="13326" max="13326" width="11" style="1457" customWidth="1"/>
    <col min="13327" max="13328" width="9.73046875" style="1457" customWidth="1"/>
    <col min="13329" max="13329" width="10" style="1457" customWidth="1"/>
    <col min="13330" max="13331" width="17" style="1457" customWidth="1"/>
    <col min="13332" max="13568" width="8.86328125" style="1457"/>
    <col min="13569" max="13569" width="118.265625" style="1457" customWidth="1"/>
    <col min="13570" max="13570" width="26.86328125" style="1457" customWidth="1"/>
    <col min="13571" max="13571" width="20" style="1457" customWidth="1"/>
    <col min="13572" max="13572" width="29.73046875" style="1457" bestFit="1" customWidth="1"/>
    <col min="13573" max="13573" width="33.265625" style="1457" customWidth="1"/>
    <col min="13574" max="13574" width="27.73046875" style="1457" customWidth="1"/>
    <col min="13575" max="13575" width="22.265625" style="1457" customWidth="1"/>
    <col min="13576" max="13576" width="32" style="1457" customWidth="1"/>
    <col min="13577" max="13577" width="23.265625" style="1457" customWidth="1"/>
    <col min="13578" max="13578" width="18" style="1457" customWidth="1"/>
    <col min="13579" max="13579" width="16.73046875" style="1457" customWidth="1"/>
    <col min="13580" max="13580" width="13.265625" style="1457" customWidth="1"/>
    <col min="13581" max="13581" width="15.265625" style="1457" customWidth="1"/>
    <col min="13582" max="13582" width="11" style="1457" customWidth="1"/>
    <col min="13583" max="13584" width="9.73046875" style="1457" customWidth="1"/>
    <col min="13585" max="13585" width="10" style="1457" customWidth="1"/>
    <col min="13586" max="13587" width="17" style="1457" customWidth="1"/>
    <col min="13588" max="13824" width="8.86328125" style="1457"/>
    <col min="13825" max="13825" width="118.265625" style="1457" customWidth="1"/>
    <col min="13826" max="13826" width="26.86328125" style="1457" customWidth="1"/>
    <col min="13827" max="13827" width="20" style="1457" customWidth="1"/>
    <col min="13828" max="13828" width="29.73046875" style="1457" bestFit="1" customWidth="1"/>
    <col min="13829" max="13829" width="33.265625" style="1457" customWidth="1"/>
    <col min="13830" max="13830" width="27.73046875" style="1457" customWidth="1"/>
    <col min="13831" max="13831" width="22.265625" style="1457" customWidth="1"/>
    <col min="13832" max="13832" width="32" style="1457" customWidth="1"/>
    <col min="13833" max="13833" width="23.265625" style="1457" customWidth="1"/>
    <col min="13834" max="13834" width="18" style="1457" customWidth="1"/>
    <col min="13835" max="13835" width="16.73046875" style="1457" customWidth="1"/>
    <col min="13836" max="13836" width="13.265625" style="1457" customWidth="1"/>
    <col min="13837" max="13837" width="15.265625" style="1457" customWidth="1"/>
    <col min="13838" max="13838" width="11" style="1457" customWidth="1"/>
    <col min="13839" max="13840" width="9.73046875" style="1457" customWidth="1"/>
    <col min="13841" max="13841" width="10" style="1457" customWidth="1"/>
    <col min="13842" max="13843" width="17" style="1457" customWidth="1"/>
    <col min="13844" max="14080" width="8.86328125" style="1457"/>
    <col min="14081" max="14081" width="118.265625" style="1457" customWidth="1"/>
    <col min="14082" max="14082" width="26.86328125" style="1457" customWidth="1"/>
    <col min="14083" max="14083" width="20" style="1457" customWidth="1"/>
    <col min="14084" max="14084" width="29.73046875" style="1457" bestFit="1" customWidth="1"/>
    <col min="14085" max="14085" width="33.265625" style="1457" customWidth="1"/>
    <col min="14086" max="14086" width="27.73046875" style="1457" customWidth="1"/>
    <col min="14087" max="14087" width="22.265625" style="1457" customWidth="1"/>
    <col min="14088" max="14088" width="32" style="1457" customWidth="1"/>
    <col min="14089" max="14089" width="23.265625" style="1457" customWidth="1"/>
    <col min="14090" max="14090" width="18" style="1457" customWidth="1"/>
    <col min="14091" max="14091" width="16.73046875" style="1457" customWidth="1"/>
    <col min="14092" max="14092" width="13.265625" style="1457" customWidth="1"/>
    <col min="14093" max="14093" width="15.265625" style="1457" customWidth="1"/>
    <col min="14094" max="14094" width="11" style="1457" customWidth="1"/>
    <col min="14095" max="14096" width="9.73046875" style="1457" customWidth="1"/>
    <col min="14097" max="14097" width="10" style="1457" customWidth="1"/>
    <col min="14098" max="14099" width="17" style="1457" customWidth="1"/>
    <col min="14100" max="14336" width="8.86328125" style="1457"/>
    <col min="14337" max="14337" width="118.265625" style="1457" customWidth="1"/>
    <col min="14338" max="14338" width="26.86328125" style="1457" customWidth="1"/>
    <col min="14339" max="14339" width="20" style="1457" customWidth="1"/>
    <col min="14340" max="14340" width="29.73046875" style="1457" bestFit="1" customWidth="1"/>
    <col min="14341" max="14341" width="33.265625" style="1457" customWidth="1"/>
    <col min="14342" max="14342" width="27.73046875" style="1457" customWidth="1"/>
    <col min="14343" max="14343" width="22.265625" style="1457" customWidth="1"/>
    <col min="14344" max="14344" width="32" style="1457" customWidth="1"/>
    <col min="14345" max="14345" width="23.265625" style="1457" customWidth="1"/>
    <col min="14346" max="14346" width="18" style="1457" customWidth="1"/>
    <col min="14347" max="14347" width="16.73046875" style="1457" customWidth="1"/>
    <col min="14348" max="14348" width="13.265625" style="1457" customWidth="1"/>
    <col min="14349" max="14349" width="15.265625" style="1457" customWidth="1"/>
    <col min="14350" max="14350" width="11" style="1457" customWidth="1"/>
    <col min="14351" max="14352" width="9.73046875" style="1457" customWidth="1"/>
    <col min="14353" max="14353" width="10" style="1457" customWidth="1"/>
    <col min="14354" max="14355" width="17" style="1457" customWidth="1"/>
    <col min="14356" max="14592" width="8.86328125" style="1457"/>
    <col min="14593" max="14593" width="118.265625" style="1457" customWidth="1"/>
    <col min="14594" max="14594" width="26.86328125" style="1457" customWidth="1"/>
    <col min="14595" max="14595" width="20" style="1457" customWidth="1"/>
    <col min="14596" max="14596" width="29.73046875" style="1457" bestFit="1" customWidth="1"/>
    <col min="14597" max="14597" width="33.265625" style="1457" customWidth="1"/>
    <col min="14598" max="14598" width="27.73046875" style="1457" customWidth="1"/>
    <col min="14599" max="14599" width="22.265625" style="1457" customWidth="1"/>
    <col min="14600" max="14600" width="32" style="1457" customWidth="1"/>
    <col min="14601" max="14601" width="23.265625" style="1457" customWidth="1"/>
    <col min="14602" max="14602" width="18" style="1457" customWidth="1"/>
    <col min="14603" max="14603" width="16.73046875" style="1457" customWidth="1"/>
    <col min="14604" max="14604" width="13.265625" style="1457" customWidth="1"/>
    <col min="14605" max="14605" width="15.265625" style="1457" customWidth="1"/>
    <col min="14606" max="14606" width="11" style="1457" customWidth="1"/>
    <col min="14607" max="14608" width="9.73046875" style="1457" customWidth="1"/>
    <col min="14609" max="14609" width="10" style="1457" customWidth="1"/>
    <col min="14610" max="14611" width="17" style="1457" customWidth="1"/>
    <col min="14612" max="14848" width="8.86328125" style="1457"/>
    <col min="14849" max="14849" width="118.265625" style="1457" customWidth="1"/>
    <col min="14850" max="14850" width="26.86328125" style="1457" customWidth="1"/>
    <col min="14851" max="14851" width="20" style="1457" customWidth="1"/>
    <col min="14852" max="14852" width="29.73046875" style="1457" bestFit="1" customWidth="1"/>
    <col min="14853" max="14853" width="33.265625" style="1457" customWidth="1"/>
    <col min="14854" max="14854" width="27.73046875" style="1457" customWidth="1"/>
    <col min="14855" max="14855" width="22.265625" style="1457" customWidth="1"/>
    <col min="14856" max="14856" width="32" style="1457" customWidth="1"/>
    <col min="14857" max="14857" width="23.265625" style="1457" customWidth="1"/>
    <col min="14858" max="14858" width="18" style="1457" customWidth="1"/>
    <col min="14859" max="14859" width="16.73046875" style="1457" customWidth="1"/>
    <col min="14860" max="14860" width="13.265625" style="1457" customWidth="1"/>
    <col min="14861" max="14861" width="15.265625" style="1457" customWidth="1"/>
    <col min="14862" max="14862" width="11" style="1457" customWidth="1"/>
    <col min="14863" max="14864" width="9.73046875" style="1457" customWidth="1"/>
    <col min="14865" max="14865" width="10" style="1457" customWidth="1"/>
    <col min="14866" max="14867" width="17" style="1457" customWidth="1"/>
    <col min="14868" max="15104" width="8.86328125" style="1457"/>
    <col min="15105" max="15105" width="118.265625" style="1457" customWidth="1"/>
    <col min="15106" max="15106" width="26.86328125" style="1457" customWidth="1"/>
    <col min="15107" max="15107" width="20" style="1457" customWidth="1"/>
    <col min="15108" max="15108" width="29.73046875" style="1457" bestFit="1" customWidth="1"/>
    <col min="15109" max="15109" width="33.265625" style="1457" customWidth="1"/>
    <col min="15110" max="15110" width="27.73046875" style="1457" customWidth="1"/>
    <col min="15111" max="15111" width="22.265625" style="1457" customWidth="1"/>
    <col min="15112" max="15112" width="32" style="1457" customWidth="1"/>
    <col min="15113" max="15113" width="23.265625" style="1457" customWidth="1"/>
    <col min="15114" max="15114" width="18" style="1457" customWidth="1"/>
    <col min="15115" max="15115" width="16.73046875" style="1457" customWidth="1"/>
    <col min="15116" max="15116" width="13.265625" style="1457" customWidth="1"/>
    <col min="15117" max="15117" width="15.265625" style="1457" customWidth="1"/>
    <col min="15118" max="15118" width="11" style="1457" customWidth="1"/>
    <col min="15119" max="15120" width="9.73046875" style="1457" customWidth="1"/>
    <col min="15121" max="15121" width="10" style="1457" customWidth="1"/>
    <col min="15122" max="15123" width="17" style="1457" customWidth="1"/>
    <col min="15124" max="15360" width="8.86328125" style="1457"/>
    <col min="15361" max="15361" width="118.265625" style="1457" customWidth="1"/>
    <col min="15362" max="15362" width="26.86328125" style="1457" customWidth="1"/>
    <col min="15363" max="15363" width="20" style="1457" customWidth="1"/>
    <col min="15364" max="15364" width="29.73046875" style="1457" bestFit="1" customWidth="1"/>
    <col min="15365" max="15365" width="33.265625" style="1457" customWidth="1"/>
    <col min="15366" max="15366" width="27.73046875" style="1457" customWidth="1"/>
    <col min="15367" max="15367" width="22.265625" style="1457" customWidth="1"/>
    <col min="15368" max="15368" width="32" style="1457" customWidth="1"/>
    <col min="15369" max="15369" width="23.265625" style="1457" customWidth="1"/>
    <col min="15370" max="15370" width="18" style="1457" customWidth="1"/>
    <col min="15371" max="15371" width="16.73046875" style="1457" customWidth="1"/>
    <col min="15372" max="15372" width="13.265625" style="1457" customWidth="1"/>
    <col min="15373" max="15373" width="15.265625" style="1457" customWidth="1"/>
    <col min="15374" max="15374" width="11" style="1457" customWidth="1"/>
    <col min="15375" max="15376" width="9.73046875" style="1457" customWidth="1"/>
    <col min="15377" max="15377" width="10" style="1457" customWidth="1"/>
    <col min="15378" max="15379" width="17" style="1457" customWidth="1"/>
    <col min="15380" max="15616" width="8.86328125" style="1457"/>
    <col min="15617" max="15617" width="118.265625" style="1457" customWidth="1"/>
    <col min="15618" max="15618" width="26.86328125" style="1457" customWidth="1"/>
    <col min="15619" max="15619" width="20" style="1457" customWidth="1"/>
    <col min="15620" max="15620" width="29.73046875" style="1457" bestFit="1" customWidth="1"/>
    <col min="15621" max="15621" width="33.265625" style="1457" customWidth="1"/>
    <col min="15622" max="15622" width="27.73046875" style="1457" customWidth="1"/>
    <col min="15623" max="15623" width="22.265625" style="1457" customWidth="1"/>
    <col min="15624" max="15624" width="32" style="1457" customWidth="1"/>
    <col min="15625" max="15625" width="23.265625" style="1457" customWidth="1"/>
    <col min="15626" max="15626" width="18" style="1457" customWidth="1"/>
    <col min="15627" max="15627" width="16.73046875" style="1457" customWidth="1"/>
    <col min="15628" max="15628" width="13.265625" style="1457" customWidth="1"/>
    <col min="15629" max="15629" width="15.265625" style="1457" customWidth="1"/>
    <col min="15630" max="15630" width="11" style="1457" customWidth="1"/>
    <col min="15631" max="15632" width="9.73046875" style="1457" customWidth="1"/>
    <col min="15633" max="15633" width="10" style="1457" customWidth="1"/>
    <col min="15634" max="15635" width="17" style="1457" customWidth="1"/>
    <col min="15636" max="15872" width="8.86328125" style="1457"/>
    <col min="15873" max="15873" width="118.265625" style="1457" customWidth="1"/>
    <col min="15874" max="15874" width="26.86328125" style="1457" customWidth="1"/>
    <col min="15875" max="15875" width="20" style="1457" customWidth="1"/>
    <col min="15876" max="15876" width="29.73046875" style="1457" bestFit="1" customWidth="1"/>
    <col min="15877" max="15877" width="33.265625" style="1457" customWidth="1"/>
    <col min="15878" max="15878" width="27.73046875" style="1457" customWidth="1"/>
    <col min="15879" max="15879" width="22.265625" style="1457" customWidth="1"/>
    <col min="15880" max="15880" width="32" style="1457" customWidth="1"/>
    <col min="15881" max="15881" width="23.265625" style="1457" customWidth="1"/>
    <col min="15882" max="15882" width="18" style="1457" customWidth="1"/>
    <col min="15883" max="15883" width="16.73046875" style="1457" customWidth="1"/>
    <col min="15884" max="15884" width="13.265625" style="1457" customWidth="1"/>
    <col min="15885" max="15885" width="15.265625" style="1457" customWidth="1"/>
    <col min="15886" max="15886" width="11" style="1457" customWidth="1"/>
    <col min="15887" max="15888" width="9.73046875" style="1457" customWidth="1"/>
    <col min="15889" max="15889" width="10" style="1457" customWidth="1"/>
    <col min="15890" max="15891" width="17" style="1457" customWidth="1"/>
    <col min="15892" max="16128" width="8.86328125" style="1457"/>
    <col min="16129" max="16129" width="118.265625" style="1457" customWidth="1"/>
    <col min="16130" max="16130" width="26.86328125" style="1457" customWidth="1"/>
    <col min="16131" max="16131" width="20" style="1457" customWidth="1"/>
    <col min="16132" max="16132" width="29.73046875" style="1457" bestFit="1" customWidth="1"/>
    <col min="16133" max="16133" width="33.265625" style="1457" customWidth="1"/>
    <col min="16134" max="16134" width="27.73046875" style="1457" customWidth="1"/>
    <col min="16135" max="16135" width="22.265625" style="1457" customWidth="1"/>
    <col min="16136" max="16136" width="32" style="1457" customWidth="1"/>
    <col min="16137" max="16137" width="23.265625" style="1457" customWidth="1"/>
    <col min="16138" max="16138" width="18" style="1457" customWidth="1"/>
    <col min="16139" max="16139" width="16.73046875" style="1457" customWidth="1"/>
    <col min="16140" max="16140" width="13.265625" style="1457" customWidth="1"/>
    <col min="16141" max="16141" width="15.265625" style="1457" customWidth="1"/>
    <col min="16142" max="16142" width="11" style="1457" customWidth="1"/>
    <col min="16143" max="16144" width="9.73046875" style="1457" customWidth="1"/>
    <col min="16145" max="16145" width="10" style="1457" customWidth="1"/>
    <col min="16146" max="16147" width="17" style="1457" customWidth="1"/>
    <col min="16148" max="16384" width="8.86328125" style="1457"/>
  </cols>
  <sheetData>
    <row r="1" spans="1:22" ht="36">
      <c r="A1" s="1456" t="s">
        <v>2601</v>
      </c>
    </row>
    <row r="2" spans="1:22">
      <c r="A2" s="1458" t="s">
        <v>2303</v>
      </c>
    </row>
    <row r="3" spans="1:22">
      <c r="A3" s="1458"/>
    </row>
    <row r="4" spans="1:22" s="1460" customFormat="1" ht="18.399999999999999" thickBot="1">
      <c r="A4" s="1459" t="s">
        <v>367</v>
      </c>
      <c r="J4" s="1461"/>
      <c r="K4" s="1461"/>
      <c r="L4" s="1461"/>
      <c r="M4" s="1461"/>
      <c r="N4" s="1461"/>
      <c r="V4" s="1462"/>
    </row>
    <row r="5" spans="1:22" ht="14.65" thickBot="1">
      <c r="A5" s="1847"/>
      <c r="B5" s="1463" t="s">
        <v>368</v>
      </c>
      <c r="C5" s="1463" t="s">
        <v>369</v>
      </c>
      <c r="D5" s="1463" t="s">
        <v>1808</v>
      </c>
      <c r="E5" s="1463" t="s">
        <v>371</v>
      </c>
      <c r="F5" s="1463" t="s">
        <v>1809</v>
      </c>
      <c r="G5" s="1463" t="s">
        <v>375</v>
      </c>
      <c r="H5" s="1464" t="s">
        <v>77</v>
      </c>
      <c r="I5" s="1464" t="s">
        <v>78</v>
      </c>
      <c r="J5" s="1464" t="s">
        <v>376</v>
      </c>
      <c r="K5" s="1464" t="s">
        <v>377</v>
      </c>
      <c r="L5" s="1464" t="s">
        <v>378</v>
      </c>
      <c r="M5" s="1463" t="s">
        <v>379</v>
      </c>
      <c r="N5" s="1463" t="s">
        <v>380</v>
      </c>
      <c r="O5" s="1463" t="s">
        <v>381</v>
      </c>
      <c r="P5" s="1463" t="s">
        <v>382</v>
      </c>
      <c r="Q5" s="1848" t="s">
        <v>139</v>
      </c>
      <c r="R5" s="1465" t="s">
        <v>1810</v>
      </c>
      <c r="S5" s="1466"/>
      <c r="U5" s="1467"/>
    </row>
    <row r="6" spans="1:22" ht="14.25">
      <c r="A6" s="1548" t="s">
        <v>1940</v>
      </c>
      <c r="B6" s="1543">
        <v>182</v>
      </c>
      <c r="C6" s="1543">
        <v>9</v>
      </c>
      <c r="D6" s="1544">
        <f>5300*B6</f>
        <v>964600</v>
      </c>
      <c r="E6" s="1544">
        <v>0</v>
      </c>
      <c r="F6" s="1544">
        <f t="shared" ref="F6:F12" si="0">D6-E6</f>
        <v>964600</v>
      </c>
      <c r="G6" s="1549" t="s">
        <v>389</v>
      </c>
      <c r="H6" s="1546" t="s">
        <v>386</v>
      </c>
      <c r="I6" s="1546" t="s">
        <v>386</v>
      </c>
      <c r="J6" s="1550" t="s">
        <v>400</v>
      </c>
      <c r="K6" s="1550" t="s">
        <v>400</v>
      </c>
      <c r="L6" s="1546" t="s">
        <v>386</v>
      </c>
      <c r="M6" s="1545" t="s">
        <v>412</v>
      </c>
      <c r="N6" s="1546" t="s">
        <v>391</v>
      </c>
      <c r="O6" s="1546" t="s">
        <v>391</v>
      </c>
      <c r="P6" s="1546" t="s">
        <v>391</v>
      </c>
      <c r="Q6" s="1849" t="s">
        <v>391</v>
      </c>
      <c r="R6" s="1547">
        <v>2025</v>
      </c>
      <c r="S6" s="1466"/>
      <c r="U6" s="1467"/>
    </row>
    <row r="7" spans="1:22" ht="14.25">
      <c r="A7" s="1553" t="s">
        <v>394</v>
      </c>
      <c r="B7" s="1554">
        <v>150</v>
      </c>
      <c r="C7" s="1554">
        <v>17</v>
      </c>
      <c r="D7" s="1544">
        <f>5300*B7</f>
        <v>795000</v>
      </c>
      <c r="E7" s="1544">
        <f>0*D7</f>
        <v>0</v>
      </c>
      <c r="F7" s="1544">
        <f t="shared" si="0"/>
        <v>795000</v>
      </c>
      <c r="G7" s="1549" t="s">
        <v>395</v>
      </c>
      <c r="H7" s="1555" t="s">
        <v>386</v>
      </c>
      <c r="I7" s="1555" t="s">
        <v>386</v>
      </c>
      <c r="J7" s="1555" t="s">
        <v>386</v>
      </c>
      <c r="K7" s="1555" t="s">
        <v>386</v>
      </c>
      <c r="L7" s="1555" t="s">
        <v>386</v>
      </c>
      <c r="M7" s="1549" t="s">
        <v>390</v>
      </c>
      <c r="N7" s="1546" t="s">
        <v>386</v>
      </c>
      <c r="O7" s="1546" t="s">
        <v>386</v>
      </c>
      <c r="P7" s="1546" t="s">
        <v>386</v>
      </c>
      <c r="Q7" s="1849" t="s">
        <v>400</v>
      </c>
      <c r="R7" s="1547">
        <v>2025</v>
      </c>
      <c r="S7" s="1466"/>
      <c r="U7" s="1467"/>
    </row>
    <row r="8" spans="1:22" ht="14.25">
      <c r="A8" s="1553" t="s">
        <v>398</v>
      </c>
      <c r="B8" s="1554">
        <v>95</v>
      </c>
      <c r="C8" s="1554">
        <v>12</v>
      </c>
      <c r="D8" s="1544">
        <f>5300*B8</f>
        <v>503500</v>
      </c>
      <c r="E8" s="1544">
        <f>0*D8</f>
        <v>0</v>
      </c>
      <c r="F8" s="1544">
        <f t="shared" si="0"/>
        <v>503500</v>
      </c>
      <c r="G8" s="1549" t="s">
        <v>399</v>
      </c>
      <c r="H8" s="1555" t="s">
        <v>386</v>
      </c>
      <c r="I8" s="1555" t="s">
        <v>386</v>
      </c>
      <c r="J8" s="1555" t="s">
        <v>386</v>
      </c>
      <c r="K8" s="1556" t="s">
        <v>400</v>
      </c>
      <c r="L8" s="1555" t="s">
        <v>386</v>
      </c>
      <c r="M8" s="1549" t="s">
        <v>390</v>
      </c>
      <c r="N8" s="1555" t="s">
        <v>386</v>
      </c>
      <c r="O8" s="1555" t="s">
        <v>386</v>
      </c>
      <c r="P8" s="1555" t="s">
        <v>391</v>
      </c>
      <c r="Q8" s="1850" t="s">
        <v>391</v>
      </c>
      <c r="R8" s="1547">
        <v>2025</v>
      </c>
    </row>
    <row r="9" spans="1:22" ht="14.25">
      <c r="A9" s="1553" t="s">
        <v>525</v>
      </c>
      <c r="B9" s="1554">
        <v>172</v>
      </c>
      <c r="C9" s="1554">
        <v>12</v>
      </c>
      <c r="D9" s="1544">
        <f>5300*B9</f>
        <v>911600</v>
      </c>
      <c r="E9" s="1544">
        <f>0*D9</f>
        <v>0</v>
      </c>
      <c r="F9" s="1544">
        <f t="shared" si="0"/>
        <v>911600</v>
      </c>
      <c r="G9" s="1549" t="s">
        <v>389</v>
      </c>
      <c r="H9" s="1555" t="s">
        <v>386</v>
      </c>
      <c r="I9" s="1555" t="s">
        <v>386</v>
      </c>
      <c r="J9" s="1555" t="s">
        <v>386</v>
      </c>
      <c r="K9" s="1556" t="s">
        <v>400</v>
      </c>
      <c r="L9" s="1556" t="s">
        <v>400</v>
      </c>
      <c r="M9" s="1549" t="s">
        <v>412</v>
      </c>
      <c r="N9" s="1555" t="s">
        <v>391</v>
      </c>
      <c r="O9" s="1555" t="s">
        <v>391</v>
      </c>
      <c r="P9" s="1555" t="s">
        <v>391</v>
      </c>
      <c r="Q9" s="1850" t="s">
        <v>391</v>
      </c>
      <c r="R9" s="1558">
        <v>2025</v>
      </c>
    </row>
    <row r="10" spans="1:22" ht="14.25">
      <c r="A10" s="1851" t="s">
        <v>2304</v>
      </c>
      <c r="B10" s="1559"/>
      <c r="C10" s="1559"/>
      <c r="D10" s="1560">
        <v>500000</v>
      </c>
      <c r="E10" s="1560">
        <v>0</v>
      </c>
      <c r="F10" s="1560">
        <v>500000</v>
      </c>
      <c r="G10" s="1549" t="s">
        <v>389</v>
      </c>
      <c r="H10" s="1555"/>
      <c r="I10" s="1555"/>
      <c r="J10" s="1555"/>
      <c r="K10" s="1555"/>
      <c r="L10" s="1556"/>
      <c r="M10" s="1549" t="s">
        <v>412</v>
      </c>
      <c r="N10" s="1549" t="s">
        <v>391</v>
      </c>
      <c r="O10" s="1549" t="s">
        <v>391</v>
      </c>
      <c r="P10" s="1549" t="s">
        <v>391</v>
      </c>
      <c r="Q10" s="1852" t="s">
        <v>391</v>
      </c>
      <c r="R10" s="1853">
        <v>2025</v>
      </c>
    </row>
    <row r="11" spans="1:22" ht="14.25">
      <c r="A11" s="1851" t="s">
        <v>1943</v>
      </c>
      <c r="B11" s="1559"/>
      <c r="C11" s="1559"/>
      <c r="D11" s="1561">
        <v>80000000</v>
      </c>
      <c r="E11" s="1560">
        <v>75500000</v>
      </c>
      <c r="F11" s="1560">
        <v>6000000</v>
      </c>
      <c r="G11" s="1549" t="s">
        <v>1944</v>
      </c>
      <c r="H11" s="1562"/>
      <c r="I11" s="1562"/>
      <c r="J11" s="1562"/>
      <c r="K11" s="1563"/>
      <c r="L11" s="1563"/>
      <c r="M11" s="1564"/>
      <c r="N11" s="1562"/>
      <c r="O11" s="1562"/>
      <c r="P11" s="1562"/>
      <c r="Q11" s="1854"/>
      <c r="R11" s="1853">
        <v>2025</v>
      </c>
    </row>
    <row r="12" spans="1:22" ht="14.65" thickBot="1">
      <c r="A12" s="1565" t="s">
        <v>414</v>
      </c>
      <c r="B12" s="1566">
        <v>218</v>
      </c>
      <c r="C12" s="1566">
        <v>7</v>
      </c>
      <c r="D12" s="1567">
        <v>4500000</v>
      </c>
      <c r="E12" s="1568">
        <f>0*D12</f>
        <v>0</v>
      </c>
      <c r="F12" s="1568">
        <f t="shared" si="0"/>
        <v>4500000</v>
      </c>
      <c r="G12" s="1569" t="s">
        <v>389</v>
      </c>
      <c r="H12" s="1570" t="s">
        <v>386</v>
      </c>
      <c r="I12" s="1570" t="s">
        <v>386</v>
      </c>
      <c r="J12" s="1571" t="s">
        <v>415</v>
      </c>
      <c r="K12" s="1570" t="s">
        <v>386</v>
      </c>
      <c r="L12" s="1570" t="s">
        <v>386</v>
      </c>
      <c r="M12" s="1569" t="s">
        <v>412</v>
      </c>
      <c r="N12" s="1570" t="s">
        <v>391</v>
      </c>
      <c r="O12" s="1570" t="s">
        <v>391</v>
      </c>
      <c r="P12" s="1570" t="s">
        <v>391</v>
      </c>
      <c r="Q12" s="1855" t="s">
        <v>391</v>
      </c>
      <c r="R12" s="1573">
        <v>2025</v>
      </c>
    </row>
    <row r="13" spans="1:22" ht="14.25">
      <c r="A13" s="1574"/>
      <c r="B13" s="1574"/>
      <c r="C13" s="1574"/>
      <c r="D13" s="1574"/>
      <c r="E13" s="1574"/>
      <c r="F13" s="1574"/>
      <c r="G13" s="1574"/>
      <c r="H13" s="1574"/>
      <c r="I13" s="1574"/>
      <c r="J13" s="1574"/>
      <c r="K13" s="1574"/>
      <c r="L13" s="1574"/>
      <c r="M13" s="1574"/>
      <c r="N13" s="1574"/>
      <c r="O13" s="1574"/>
      <c r="P13" s="1574"/>
      <c r="Q13" s="1574"/>
      <c r="R13" s="1574"/>
    </row>
    <row r="14" spans="1:22" ht="14.25">
      <c r="A14" s="1575" t="s">
        <v>416</v>
      </c>
      <c r="B14" s="1576">
        <f>SUM(B6:B12)</f>
        <v>817</v>
      </c>
      <c r="C14" s="1574"/>
      <c r="D14" s="1577">
        <f>SUM(D6:D12)</f>
        <v>88174700</v>
      </c>
      <c r="E14" s="1577">
        <f>SUM(E6:E12)</f>
        <v>75500000</v>
      </c>
      <c r="F14" s="1577">
        <f>SUM(F6:F12)</f>
        <v>14174700</v>
      </c>
      <c r="G14" s="1574"/>
      <c r="H14" s="1574"/>
      <c r="I14" s="1574"/>
      <c r="J14" s="1574"/>
      <c r="K14" s="1574"/>
      <c r="L14" s="1574"/>
      <c r="M14" s="1574"/>
      <c r="N14" s="1574"/>
      <c r="O14" s="1574"/>
      <c r="P14" s="1574"/>
      <c r="Q14" s="1574"/>
      <c r="R14" s="1574"/>
    </row>
    <row r="15" spans="1:22" ht="14.25">
      <c r="A15" s="1575"/>
      <c r="B15" s="1576"/>
      <c r="C15" s="1574"/>
      <c r="D15" s="1577"/>
      <c r="E15" s="1577"/>
      <c r="F15" s="1577"/>
      <c r="G15" s="1574"/>
      <c r="H15" s="1574"/>
      <c r="I15" s="1574"/>
      <c r="J15" s="1574"/>
      <c r="K15" s="1574"/>
      <c r="L15" s="1574"/>
      <c r="M15" s="1574"/>
      <c r="N15" s="1574"/>
      <c r="O15" s="1574"/>
      <c r="P15" s="1574"/>
      <c r="Q15" s="1574"/>
      <c r="R15" s="1574"/>
    </row>
    <row r="16" spans="1:22" ht="15.4" thickBot="1">
      <c r="A16" s="1470" t="s">
        <v>1811</v>
      </c>
      <c r="B16" s="1574"/>
      <c r="C16" s="1574"/>
      <c r="D16" s="1574"/>
      <c r="E16" s="1574"/>
      <c r="F16" s="1574"/>
      <c r="G16" s="1574"/>
      <c r="H16" s="1574"/>
      <c r="I16" s="1574"/>
      <c r="J16" s="1574"/>
      <c r="K16" s="1574"/>
      <c r="L16" s="1574"/>
      <c r="M16" s="1574"/>
      <c r="N16" s="1574"/>
      <c r="O16" s="1574"/>
      <c r="P16" s="1574"/>
      <c r="Q16" s="1574"/>
      <c r="R16" s="1574"/>
    </row>
    <row r="17" spans="1:18" ht="14.65" thickBot="1">
      <c r="A17" s="1578"/>
      <c r="B17" s="1579" t="s">
        <v>368</v>
      </c>
      <c r="C17" s="1574"/>
      <c r="D17" s="1578" t="s">
        <v>1812</v>
      </c>
      <c r="E17" s="1580" t="s">
        <v>417</v>
      </c>
      <c r="F17" s="1580" t="s">
        <v>1809</v>
      </c>
      <c r="G17" s="1580" t="s">
        <v>375</v>
      </c>
      <c r="H17" s="1580" t="s">
        <v>379</v>
      </c>
      <c r="I17" s="1580" t="s">
        <v>380</v>
      </c>
      <c r="J17" s="1580" t="s">
        <v>381</v>
      </c>
      <c r="K17" s="1580" t="s">
        <v>382</v>
      </c>
      <c r="L17" s="1856" t="s">
        <v>139</v>
      </c>
      <c r="M17" s="1579" t="s">
        <v>1810</v>
      </c>
      <c r="N17" s="1574"/>
      <c r="O17" s="1574"/>
      <c r="P17" s="1574"/>
      <c r="Q17" s="1574"/>
      <c r="R17" s="1574"/>
    </row>
    <row r="18" spans="1:18" ht="14.25">
      <c r="A18" s="1581" t="s">
        <v>419</v>
      </c>
      <c r="B18" s="1582">
        <v>350</v>
      </c>
      <c r="C18" s="1574"/>
      <c r="D18" s="1583">
        <v>650000</v>
      </c>
      <c r="E18" s="1584">
        <v>500000</v>
      </c>
      <c r="F18" s="1585">
        <f t="shared" ref="F18:F25" si="1">D18-E18</f>
        <v>150000</v>
      </c>
      <c r="G18" s="1586" t="s">
        <v>389</v>
      </c>
      <c r="H18" s="1586" t="s">
        <v>420</v>
      </c>
      <c r="I18" s="1586" t="s">
        <v>387</v>
      </c>
      <c r="J18" s="1586" t="s">
        <v>387</v>
      </c>
      <c r="K18" s="1586" t="s">
        <v>387</v>
      </c>
      <c r="L18" s="1857" t="s">
        <v>387</v>
      </c>
      <c r="M18" s="1587">
        <v>2025</v>
      </c>
      <c r="N18" s="1588" t="s">
        <v>1813</v>
      </c>
      <c r="O18" s="1574"/>
      <c r="P18" s="1574"/>
      <c r="Q18" s="1574"/>
      <c r="R18" s="1574"/>
    </row>
    <row r="19" spans="1:18" ht="14.25">
      <c r="A19" s="1589" t="s">
        <v>2305</v>
      </c>
      <c r="B19" s="1590">
        <v>11</v>
      </c>
      <c r="C19" s="1574"/>
      <c r="D19" s="1583">
        <v>2500000</v>
      </c>
      <c r="E19" s="1584">
        <v>0</v>
      </c>
      <c r="F19" s="1585">
        <v>2500000</v>
      </c>
      <c r="G19" s="1586" t="s">
        <v>389</v>
      </c>
      <c r="H19" s="1586" t="s">
        <v>511</v>
      </c>
      <c r="I19" s="1586" t="s">
        <v>391</v>
      </c>
      <c r="J19" s="1586" t="s">
        <v>391</v>
      </c>
      <c r="K19" s="1586" t="s">
        <v>391</v>
      </c>
      <c r="L19" s="1857" t="s">
        <v>391</v>
      </c>
      <c r="M19" s="1587">
        <v>2025</v>
      </c>
      <c r="N19" s="1588"/>
      <c r="O19" s="1574"/>
      <c r="P19" s="1574"/>
      <c r="Q19" s="1574"/>
      <c r="R19" s="1574"/>
    </row>
    <row r="20" spans="1:18" ht="14.25">
      <c r="A20" s="1589" t="s">
        <v>528</v>
      </c>
      <c r="B20" s="1590">
        <v>300</v>
      </c>
      <c r="C20" s="1574"/>
      <c r="D20" s="1583">
        <v>750000</v>
      </c>
      <c r="E20" s="1584">
        <v>630000</v>
      </c>
      <c r="F20" s="1585">
        <f t="shared" si="1"/>
        <v>120000</v>
      </c>
      <c r="G20" s="1586" t="s">
        <v>389</v>
      </c>
      <c r="H20" s="1586" t="s">
        <v>511</v>
      </c>
      <c r="I20" s="1586" t="s">
        <v>391</v>
      </c>
      <c r="J20" s="1586" t="s">
        <v>391</v>
      </c>
      <c r="K20" s="1586" t="s">
        <v>391</v>
      </c>
      <c r="L20" s="1857" t="s">
        <v>391</v>
      </c>
      <c r="M20" s="1587">
        <v>2025</v>
      </c>
      <c r="N20" s="1574"/>
      <c r="O20" s="1574"/>
      <c r="P20" s="1574"/>
      <c r="Q20" s="1574"/>
      <c r="R20" s="1574"/>
    </row>
    <row r="21" spans="1:18" ht="14.25">
      <c r="A21" s="1589" t="s">
        <v>2602</v>
      </c>
      <c r="B21" s="1590">
        <v>200</v>
      </c>
      <c r="C21" s="1591"/>
      <c r="D21" s="1583">
        <v>4126169</v>
      </c>
      <c r="E21" s="1584">
        <v>3500000</v>
      </c>
      <c r="F21" s="1585">
        <f t="shared" si="1"/>
        <v>626169</v>
      </c>
      <c r="G21" s="1586" t="s">
        <v>389</v>
      </c>
      <c r="H21" s="1586" t="s">
        <v>1946</v>
      </c>
      <c r="I21" s="1586" t="s">
        <v>387</v>
      </c>
      <c r="J21" s="1586" t="s">
        <v>387</v>
      </c>
      <c r="K21" s="1586" t="s">
        <v>387</v>
      </c>
      <c r="L21" s="1857" t="s">
        <v>391</v>
      </c>
      <c r="M21" s="1587">
        <v>2025</v>
      </c>
      <c r="N21" s="1574"/>
      <c r="O21" s="1574"/>
      <c r="P21" s="1574"/>
      <c r="Q21" s="1574"/>
      <c r="R21" s="1574"/>
    </row>
    <row r="22" spans="1:18" ht="14.25">
      <c r="A22" s="1858" t="s">
        <v>1947</v>
      </c>
      <c r="B22" s="1859">
        <v>208</v>
      </c>
      <c r="C22" s="1591"/>
      <c r="D22" s="1583">
        <v>3900000</v>
      </c>
      <c r="E22" s="1584">
        <v>3400000</v>
      </c>
      <c r="F22" s="1585">
        <f t="shared" si="1"/>
        <v>500000</v>
      </c>
      <c r="G22" s="1586" t="s">
        <v>389</v>
      </c>
      <c r="H22" s="1586" t="s">
        <v>1946</v>
      </c>
      <c r="I22" s="1586" t="s">
        <v>391</v>
      </c>
      <c r="J22" s="1586" t="s">
        <v>391</v>
      </c>
      <c r="K22" s="1586" t="s">
        <v>391</v>
      </c>
      <c r="L22" s="1857" t="s">
        <v>391</v>
      </c>
      <c r="M22" s="1860">
        <v>2025</v>
      </c>
      <c r="N22" s="1574"/>
      <c r="O22" s="1574"/>
      <c r="P22" s="1574"/>
      <c r="Q22" s="1574"/>
      <c r="R22" s="1574"/>
    </row>
    <row r="23" spans="1:18" ht="14.25">
      <c r="A23" s="1858" t="s">
        <v>1948</v>
      </c>
      <c r="B23" s="1859">
        <v>80</v>
      </c>
      <c r="C23" s="1591"/>
      <c r="D23" s="1583">
        <v>1000000</v>
      </c>
      <c r="E23" s="1584">
        <v>0</v>
      </c>
      <c r="F23" s="1585">
        <f t="shared" si="1"/>
        <v>1000000</v>
      </c>
      <c r="G23" s="1586" t="s">
        <v>389</v>
      </c>
      <c r="H23" s="1586" t="s">
        <v>1946</v>
      </c>
      <c r="I23" s="1586" t="s">
        <v>391</v>
      </c>
      <c r="J23" s="1586" t="s">
        <v>391</v>
      </c>
      <c r="K23" s="1586" t="s">
        <v>391</v>
      </c>
      <c r="L23" s="1857" t="s">
        <v>391</v>
      </c>
      <c r="M23" s="1860">
        <v>2025</v>
      </c>
      <c r="N23" s="1574"/>
      <c r="O23" s="1574"/>
      <c r="P23" s="1574"/>
      <c r="Q23" s="1574"/>
      <c r="R23" s="1574"/>
    </row>
    <row r="24" spans="1:18" ht="14.25">
      <c r="A24" s="1861" t="s">
        <v>2306</v>
      </c>
      <c r="B24" s="1862">
        <v>12</v>
      </c>
      <c r="C24" s="1591"/>
      <c r="D24" s="1863">
        <v>1500000</v>
      </c>
      <c r="E24" s="1585">
        <v>0</v>
      </c>
      <c r="F24" s="1585">
        <f t="shared" si="1"/>
        <v>1500000</v>
      </c>
      <c r="G24" s="1586" t="s">
        <v>389</v>
      </c>
      <c r="H24" s="1586" t="s">
        <v>511</v>
      </c>
      <c r="I24" s="1586" t="s">
        <v>391</v>
      </c>
      <c r="J24" s="1586" t="s">
        <v>391</v>
      </c>
      <c r="K24" s="1586" t="s">
        <v>391</v>
      </c>
      <c r="L24" s="1857" t="s">
        <v>391</v>
      </c>
      <c r="M24" s="1860">
        <v>2025</v>
      </c>
      <c r="N24" s="1574"/>
      <c r="O24" s="1574"/>
      <c r="P24" s="1574"/>
      <c r="Q24" s="1574"/>
      <c r="R24" s="1574"/>
    </row>
    <row r="25" spans="1:18" ht="14.65" thickBot="1">
      <c r="A25" s="1864" t="s">
        <v>1949</v>
      </c>
      <c r="B25" s="1865">
        <v>120</v>
      </c>
      <c r="C25" s="1591"/>
      <c r="D25" s="1654">
        <v>1600000</v>
      </c>
      <c r="E25" s="1655">
        <v>0</v>
      </c>
      <c r="F25" s="1655">
        <f t="shared" si="1"/>
        <v>1600000</v>
      </c>
      <c r="G25" s="1866" t="s">
        <v>389</v>
      </c>
      <c r="H25" s="1866" t="s">
        <v>1946</v>
      </c>
      <c r="I25" s="1866" t="s">
        <v>391</v>
      </c>
      <c r="J25" s="1866" t="s">
        <v>391</v>
      </c>
      <c r="K25" s="1866" t="s">
        <v>391</v>
      </c>
      <c r="L25" s="1867" t="s">
        <v>391</v>
      </c>
      <c r="M25" s="1696">
        <v>2025</v>
      </c>
      <c r="N25" s="1574"/>
      <c r="O25" s="1574"/>
      <c r="P25" s="1574"/>
      <c r="Q25" s="1574"/>
      <c r="R25" s="1574"/>
    </row>
    <row r="26" spans="1:18" ht="14.25">
      <c r="A26" s="1574"/>
      <c r="B26" s="1574"/>
      <c r="C26" s="1574"/>
      <c r="D26" s="1574"/>
      <c r="E26" s="1574"/>
      <c r="F26" s="1574"/>
      <c r="G26" s="1574"/>
      <c r="H26" s="1574"/>
      <c r="I26" s="1574"/>
      <c r="J26" s="1574"/>
      <c r="K26" s="1574"/>
      <c r="L26" s="1574"/>
      <c r="M26" s="1574"/>
      <c r="N26" s="1574"/>
      <c r="O26" s="1574"/>
      <c r="P26" s="1574"/>
      <c r="Q26" s="1574"/>
      <c r="R26" s="1574"/>
    </row>
    <row r="27" spans="1:18" ht="14.25">
      <c r="A27" s="1575" t="s">
        <v>416</v>
      </c>
      <c r="B27" s="1576">
        <f>SUM(B18:B25)</f>
        <v>1281</v>
      </c>
      <c r="C27" s="1574"/>
      <c r="D27" s="1577">
        <f>SUM(D18:D25)</f>
        <v>16026169</v>
      </c>
      <c r="E27" s="1577">
        <f>SUM(E18:E25)</f>
        <v>8030000</v>
      </c>
      <c r="F27" s="1577">
        <f>SUM(F18:F25)</f>
        <v>7996169</v>
      </c>
      <c r="G27" s="1574"/>
      <c r="H27" s="1574"/>
      <c r="I27" s="1574"/>
      <c r="J27" s="1574"/>
      <c r="K27" s="1574"/>
      <c r="L27" s="1574"/>
      <c r="M27" s="1574"/>
      <c r="N27" s="1574"/>
      <c r="O27" s="1574"/>
      <c r="P27" s="1574"/>
      <c r="Q27" s="1574"/>
      <c r="R27" s="1574"/>
    </row>
    <row r="28" spans="1:18" ht="14.25">
      <c r="A28" s="1574"/>
      <c r="B28" s="1574"/>
      <c r="C28" s="1574"/>
      <c r="D28" s="1574"/>
      <c r="E28" s="1577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</row>
    <row r="29" spans="1:18" ht="15.4" thickBot="1">
      <c r="A29" s="1470" t="s">
        <v>426</v>
      </c>
      <c r="B29" s="1574"/>
      <c r="C29" s="1574"/>
      <c r="D29" s="1574"/>
      <c r="E29" s="1577"/>
      <c r="F29" s="1574"/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</row>
    <row r="30" spans="1:18" ht="14.65" thickBot="1">
      <c r="A30" s="1594"/>
      <c r="B30" s="1574"/>
      <c r="C30" s="1574"/>
      <c r="D30" s="1578" t="s">
        <v>370</v>
      </c>
      <c r="E30" s="1595" t="s">
        <v>427</v>
      </c>
      <c r="F30" s="1580" t="s">
        <v>418</v>
      </c>
      <c r="G30" s="1580" t="s">
        <v>375</v>
      </c>
      <c r="H30" s="1580" t="s">
        <v>379</v>
      </c>
      <c r="I30" s="1580" t="s">
        <v>380</v>
      </c>
      <c r="J30" s="1580" t="s">
        <v>381</v>
      </c>
      <c r="K30" s="1580" t="s">
        <v>382</v>
      </c>
      <c r="L30" s="1856" t="s">
        <v>139</v>
      </c>
      <c r="M30" s="1579" t="s">
        <v>1810</v>
      </c>
      <c r="N30" s="1574"/>
      <c r="O30" s="1574"/>
      <c r="P30" s="1574"/>
      <c r="Q30" s="1574"/>
      <c r="R30" s="1574"/>
    </row>
    <row r="31" spans="1:18" ht="14.25">
      <c r="A31" s="1596"/>
      <c r="B31" s="1574"/>
      <c r="C31" s="1574"/>
      <c r="D31" s="1597"/>
      <c r="E31" s="1598"/>
      <c r="F31" s="1599"/>
      <c r="G31" s="1600"/>
      <c r="H31" s="1600"/>
      <c r="I31" s="1601"/>
      <c r="J31" s="1601"/>
      <c r="K31" s="1601"/>
      <c r="L31" s="1868"/>
      <c r="M31" s="1602"/>
      <c r="N31" s="1574"/>
      <c r="O31" s="1574"/>
      <c r="P31" s="1574"/>
      <c r="Q31" s="1574"/>
      <c r="R31" s="1574"/>
    </row>
    <row r="32" spans="1:18" ht="14.25">
      <c r="A32" s="1596"/>
      <c r="B32" s="1574"/>
      <c r="C32" s="1574"/>
      <c r="D32" s="1597"/>
      <c r="E32" s="1598"/>
      <c r="F32" s="1599"/>
      <c r="G32" s="1600"/>
      <c r="H32" s="1600"/>
      <c r="I32" s="1601"/>
      <c r="J32" s="1601"/>
      <c r="K32" s="1601"/>
      <c r="L32" s="1868"/>
      <c r="M32" s="1602"/>
      <c r="N32" s="1574"/>
      <c r="O32" s="1574"/>
      <c r="P32" s="1574"/>
      <c r="Q32" s="1574"/>
      <c r="R32" s="1574"/>
    </row>
    <row r="33" spans="1:18" ht="14.65" thickBot="1">
      <c r="A33" s="1603"/>
      <c r="B33" s="1574"/>
      <c r="C33" s="1574"/>
      <c r="D33" s="1604"/>
      <c r="E33" s="1605"/>
      <c r="F33" s="1606"/>
      <c r="G33" s="1607"/>
      <c r="H33" s="1608"/>
      <c r="I33" s="1607"/>
      <c r="J33" s="1607"/>
      <c r="K33" s="1607"/>
      <c r="L33" s="1869"/>
      <c r="M33" s="1609"/>
      <c r="N33" s="1574"/>
      <c r="O33" s="1574"/>
      <c r="P33" s="1574"/>
      <c r="Q33" s="1574"/>
      <c r="R33" s="1574"/>
    </row>
    <row r="34" spans="1:18" ht="14.25">
      <c r="A34" s="1574"/>
      <c r="B34" s="1574"/>
      <c r="C34" s="1574"/>
      <c r="D34" s="1577"/>
      <c r="E34" s="1577"/>
      <c r="F34" s="1577"/>
      <c r="G34" s="1574"/>
      <c r="H34" s="1574"/>
      <c r="I34" s="1574"/>
      <c r="J34" s="1574"/>
      <c r="K34" s="1574"/>
      <c r="L34" s="1574"/>
      <c r="M34" s="1574"/>
      <c r="N34" s="1574"/>
      <c r="O34" s="1574"/>
      <c r="P34" s="1574"/>
      <c r="Q34" s="1574"/>
      <c r="R34" s="1574"/>
    </row>
    <row r="35" spans="1:18" ht="14.25">
      <c r="A35" s="1575" t="s">
        <v>416</v>
      </c>
      <c r="B35" s="1574"/>
      <c r="C35" s="1574"/>
      <c r="D35" s="1577">
        <f>SUM(D31:D33)</f>
        <v>0</v>
      </c>
      <c r="E35" s="1577">
        <f>SUM(E31:E33)</f>
        <v>0</v>
      </c>
      <c r="F35" s="1577">
        <f>SUM(F31:F33)</f>
        <v>0</v>
      </c>
      <c r="G35" s="1577"/>
      <c r="H35" s="1577"/>
      <c r="I35" s="1574"/>
      <c r="J35" s="1574"/>
      <c r="K35" s="1574"/>
      <c r="L35" s="1574"/>
      <c r="M35" s="1574"/>
      <c r="N35" s="1574"/>
      <c r="O35" s="1574"/>
      <c r="P35" s="1574"/>
      <c r="Q35" s="1574"/>
      <c r="R35" s="1574"/>
    </row>
    <row r="36" spans="1:18" ht="14.25">
      <c r="A36" s="1574"/>
      <c r="B36" s="1574"/>
      <c r="C36" s="1574"/>
      <c r="D36" s="1574"/>
      <c r="E36" s="1574"/>
      <c r="F36" s="1574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</row>
    <row r="37" spans="1:18" ht="14.25">
      <c r="A37" s="1574"/>
      <c r="B37" s="1574"/>
      <c r="C37" s="1574"/>
      <c r="D37" s="1574"/>
      <c r="E37" s="1574"/>
      <c r="F37" s="1574"/>
      <c r="G37" s="1574"/>
      <c r="H37" s="1574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</row>
    <row r="38" spans="1:18" ht="15.4" thickBot="1">
      <c r="A38" s="1470" t="s">
        <v>436</v>
      </c>
      <c r="B38" s="1574"/>
      <c r="C38" s="1574"/>
      <c r="D38" s="1574"/>
      <c r="E38" s="1577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</row>
    <row r="39" spans="1:18" ht="14.65" thickBot="1">
      <c r="A39" s="2918"/>
      <c r="B39" s="1574"/>
      <c r="C39" s="1574"/>
      <c r="D39" s="1659" t="s">
        <v>370</v>
      </c>
      <c r="E39" s="1660" t="s">
        <v>1814</v>
      </c>
      <c r="F39" s="1661" t="s">
        <v>418</v>
      </c>
      <c r="G39" s="2919" t="s">
        <v>375</v>
      </c>
      <c r="H39" s="1661" t="s">
        <v>379</v>
      </c>
      <c r="I39" s="1661" t="s">
        <v>380</v>
      </c>
      <c r="J39" s="1661" t="s">
        <v>381</v>
      </c>
      <c r="K39" s="1661" t="s">
        <v>382</v>
      </c>
      <c r="L39" s="2919" t="s">
        <v>139</v>
      </c>
      <c r="M39" s="1662" t="s">
        <v>1810</v>
      </c>
      <c r="N39" s="1574"/>
      <c r="O39" s="1574"/>
      <c r="P39" s="1574"/>
      <c r="Q39" s="1574"/>
      <c r="R39" s="1574"/>
    </row>
    <row r="40" spans="1:18" ht="14.25">
      <c r="A40" s="2920" t="s">
        <v>438</v>
      </c>
      <c r="B40" s="1574"/>
      <c r="C40" s="1574"/>
      <c r="D40" s="1870">
        <v>2000000</v>
      </c>
      <c r="E40" s="1871">
        <f>0.5*D40</f>
        <v>1000000</v>
      </c>
      <c r="F40" s="1871">
        <f>D40-E40</f>
        <v>1000000</v>
      </c>
      <c r="G40" s="1872" t="s">
        <v>389</v>
      </c>
      <c r="H40" s="1872" t="s">
        <v>1819</v>
      </c>
      <c r="I40" s="1872" t="s">
        <v>391</v>
      </c>
      <c r="J40" s="1872" t="s">
        <v>391</v>
      </c>
      <c r="K40" s="1872" t="s">
        <v>391</v>
      </c>
      <c r="L40" s="1872" t="s">
        <v>391</v>
      </c>
      <c r="M40" s="2921" t="s">
        <v>1820</v>
      </c>
      <c r="N40" s="1574"/>
      <c r="O40" s="1574"/>
      <c r="P40" s="1574"/>
      <c r="Q40" s="1574"/>
      <c r="R40" s="1574"/>
    </row>
    <row r="41" spans="1:18" ht="14.25">
      <c r="A41" s="2922" t="s">
        <v>1823</v>
      </c>
      <c r="B41" s="1574"/>
      <c r="C41" s="1574"/>
      <c r="D41" s="1616">
        <v>3000000</v>
      </c>
      <c r="E41" s="1618">
        <v>1500000</v>
      </c>
      <c r="F41" s="1618">
        <f>D41-E41</f>
        <v>1500000</v>
      </c>
      <c r="G41" s="1658" t="s">
        <v>389</v>
      </c>
      <c r="H41" s="1658" t="s">
        <v>1819</v>
      </c>
      <c r="I41" s="1658" t="s">
        <v>387</v>
      </c>
      <c r="J41" s="1658" t="s">
        <v>387</v>
      </c>
      <c r="K41" s="1658" t="s">
        <v>387</v>
      </c>
      <c r="L41" s="1658" t="s">
        <v>387</v>
      </c>
      <c r="M41" s="2923" t="s">
        <v>1820</v>
      </c>
      <c r="N41" s="1574"/>
      <c r="O41" s="1574"/>
      <c r="P41" s="1574"/>
      <c r="Q41" s="1574"/>
      <c r="R41" s="1574"/>
    </row>
    <row r="42" spans="1:18" ht="14.25">
      <c r="A42" s="2922" t="s">
        <v>1952</v>
      </c>
      <c r="B42" s="1574"/>
      <c r="C42" s="1574"/>
      <c r="D42" s="1616">
        <v>1500000</v>
      </c>
      <c r="E42" s="1618">
        <f>F42</f>
        <v>750000</v>
      </c>
      <c r="F42" s="1618">
        <f>D42/2</f>
        <v>750000</v>
      </c>
      <c r="G42" s="1658" t="s">
        <v>389</v>
      </c>
      <c r="H42" s="1658" t="s">
        <v>2603</v>
      </c>
      <c r="I42" s="1658" t="s">
        <v>391</v>
      </c>
      <c r="J42" s="1658" t="s">
        <v>391</v>
      </c>
      <c r="K42" s="1658" t="s">
        <v>391</v>
      </c>
      <c r="L42" s="1658" t="s">
        <v>391</v>
      </c>
      <c r="M42" s="2923" t="s">
        <v>1820</v>
      </c>
      <c r="N42" s="1574"/>
      <c r="O42" s="1574"/>
      <c r="P42" s="1574"/>
      <c r="Q42" s="1574"/>
      <c r="R42" s="1574"/>
    </row>
    <row r="43" spans="1:18" ht="14.25">
      <c r="A43" s="2922" t="s">
        <v>1663</v>
      </c>
      <c r="B43" s="1574"/>
      <c r="C43" s="1574"/>
      <c r="D43" s="1616">
        <v>111000000</v>
      </c>
      <c r="E43" s="1618">
        <v>20000000</v>
      </c>
      <c r="F43" s="1618">
        <v>91000000</v>
      </c>
      <c r="G43" s="1658" t="s">
        <v>389</v>
      </c>
      <c r="H43" s="1658"/>
      <c r="I43" s="1658" t="s">
        <v>391</v>
      </c>
      <c r="J43" s="1658" t="s">
        <v>391</v>
      </c>
      <c r="K43" s="1658" t="s">
        <v>391</v>
      </c>
      <c r="L43" s="1658" t="s">
        <v>391</v>
      </c>
      <c r="M43" s="2923" t="s">
        <v>2604</v>
      </c>
      <c r="N43" s="1574"/>
      <c r="O43" s="1574"/>
      <c r="P43" s="1574"/>
      <c r="Q43" s="1574"/>
      <c r="R43" s="1574"/>
    </row>
    <row r="44" spans="1:18" ht="14.25">
      <c r="A44" s="2922" t="s">
        <v>2308</v>
      </c>
      <c r="B44" s="1591"/>
      <c r="C44" s="1591"/>
      <c r="D44" s="1616">
        <v>2000000</v>
      </c>
      <c r="E44" s="1618">
        <v>1000000</v>
      </c>
      <c r="F44" s="1618">
        <v>1000000</v>
      </c>
      <c r="G44" s="1658" t="s">
        <v>389</v>
      </c>
      <c r="H44" s="1658" t="s">
        <v>1819</v>
      </c>
      <c r="I44" s="1658" t="s">
        <v>391</v>
      </c>
      <c r="J44" s="1658" t="s">
        <v>391</v>
      </c>
      <c r="K44" s="1658" t="s">
        <v>391</v>
      </c>
      <c r="L44" s="1658" t="s">
        <v>391</v>
      </c>
      <c r="M44" s="2923">
        <v>2025</v>
      </c>
      <c r="N44" s="1574"/>
      <c r="O44" s="1574"/>
      <c r="P44" s="1574"/>
      <c r="Q44" s="1574"/>
      <c r="R44" s="1574"/>
    </row>
    <row r="45" spans="1:18" ht="14.25">
      <c r="A45" s="2922" t="s">
        <v>440</v>
      </c>
      <c r="B45" s="1574"/>
      <c r="C45" s="1574"/>
      <c r="D45" s="1616">
        <v>7000000</v>
      </c>
      <c r="E45" s="1618">
        <f>0.5*D45</f>
        <v>3500000</v>
      </c>
      <c r="F45" s="1618">
        <f>D45-E45</f>
        <v>3500000</v>
      </c>
      <c r="G45" s="1658" t="s">
        <v>389</v>
      </c>
      <c r="H45" s="1658" t="s">
        <v>2605</v>
      </c>
      <c r="I45" s="1658" t="s">
        <v>387</v>
      </c>
      <c r="J45" s="1658" t="s">
        <v>387</v>
      </c>
      <c r="K45" s="1658" t="s">
        <v>387</v>
      </c>
      <c r="L45" s="1658" t="s">
        <v>387</v>
      </c>
      <c r="M45" s="2923" t="s">
        <v>1820</v>
      </c>
      <c r="N45" s="1574"/>
      <c r="O45" s="1574"/>
      <c r="P45" s="1574"/>
      <c r="Q45" s="1574"/>
      <c r="R45" s="1574"/>
    </row>
    <row r="46" spans="1:18" ht="14.25">
      <c r="A46" s="2922" t="s">
        <v>2606</v>
      </c>
      <c r="B46" s="1574"/>
      <c r="C46" s="1574"/>
      <c r="D46" s="1616">
        <v>3000000</v>
      </c>
      <c r="E46" s="1618">
        <f>D46*0.8</f>
        <v>2400000</v>
      </c>
      <c r="F46" s="1618">
        <f>D46-E46</f>
        <v>600000</v>
      </c>
      <c r="G46" s="1658" t="s">
        <v>389</v>
      </c>
      <c r="H46" s="1658" t="s">
        <v>1819</v>
      </c>
      <c r="I46" s="1658" t="s">
        <v>391</v>
      </c>
      <c r="J46" s="1658" t="s">
        <v>391</v>
      </c>
      <c r="K46" s="1658" t="s">
        <v>391</v>
      </c>
      <c r="L46" s="1658" t="s">
        <v>391</v>
      </c>
      <c r="M46" s="2923" t="s">
        <v>2604</v>
      </c>
      <c r="N46" s="1574"/>
      <c r="O46" s="1574"/>
      <c r="P46" s="1574"/>
      <c r="Q46" s="1574"/>
      <c r="R46" s="1574"/>
    </row>
    <row r="47" spans="1:18" ht="14.65" thickBot="1">
      <c r="A47" s="1620" t="s">
        <v>2607</v>
      </c>
      <c r="B47" s="1574"/>
      <c r="C47" s="1574"/>
      <c r="D47" s="1616">
        <v>3000000</v>
      </c>
      <c r="E47" s="1618">
        <f>D47*0.8</f>
        <v>2400000</v>
      </c>
      <c r="F47" s="1618">
        <f>D47-E47</f>
        <v>600000</v>
      </c>
      <c r="G47" s="2924" t="s">
        <v>389</v>
      </c>
      <c r="H47" s="2924"/>
      <c r="I47" s="2924" t="s">
        <v>391</v>
      </c>
      <c r="J47" s="2924" t="s">
        <v>391</v>
      </c>
      <c r="K47" s="2924" t="s">
        <v>391</v>
      </c>
      <c r="L47" s="2924" t="s">
        <v>391</v>
      </c>
      <c r="M47" s="2925" t="s">
        <v>2604</v>
      </c>
      <c r="N47" s="1574"/>
      <c r="O47" s="1574"/>
      <c r="P47" s="1574"/>
      <c r="Q47" s="1574"/>
      <c r="R47" s="1574"/>
    </row>
    <row r="48" spans="1:18" ht="14.25">
      <c r="A48" s="1574"/>
      <c r="B48" s="1574"/>
      <c r="C48" s="1574"/>
      <c r="D48" s="1577"/>
      <c r="E48" s="1577"/>
      <c r="F48" s="1577"/>
      <c r="G48" s="1574"/>
      <c r="H48" s="1574"/>
      <c r="I48" s="1574"/>
      <c r="J48" s="1574"/>
      <c r="K48" s="1574"/>
      <c r="L48" s="1574"/>
      <c r="M48" s="1574"/>
      <c r="N48" s="1574"/>
      <c r="O48" s="1574"/>
      <c r="P48" s="1574"/>
      <c r="Q48" s="1574"/>
      <c r="R48" s="1574"/>
    </row>
    <row r="49" spans="1:18" ht="14.25">
      <c r="A49" s="1575" t="s">
        <v>416</v>
      </c>
      <c r="B49" s="1574"/>
      <c r="C49" s="1574"/>
      <c r="D49" s="1577">
        <f>SUM(D40:D47)</f>
        <v>132500000</v>
      </c>
      <c r="E49" s="1577">
        <f>SUM(E40:E47)</f>
        <v>32550000</v>
      </c>
      <c r="F49" s="1577">
        <f>SUM(F40:F47)</f>
        <v>99950000</v>
      </c>
      <c r="G49" s="1577"/>
      <c r="H49" s="1574"/>
      <c r="I49" s="1574"/>
      <c r="J49" s="1574"/>
      <c r="K49" s="1574"/>
      <c r="L49" s="1574"/>
      <c r="M49" s="1574"/>
      <c r="N49" s="1574"/>
      <c r="O49" s="1574"/>
      <c r="P49" s="1574"/>
      <c r="Q49" s="1574"/>
      <c r="R49" s="1574"/>
    </row>
    <row r="50" spans="1:18" ht="14.25">
      <c r="A50" s="1574"/>
      <c r="B50" s="1574"/>
      <c r="C50" s="1574"/>
      <c r="D50" s="1574"/>
      <c r="E50" s="1574"/>
      <c r="F50" s="1574"/>
      <c r="G50" s="1574"/>
      <c r="H50" s="1574"/>
      <c r="I50" s="1574"/>
      <c r="J50" s="1574"/>
      <c r="K50" s="1574"/>
      <c r="L50" s="1574"/>
      <c r="M50" s="1574"/>
      <c r="N50" s="1574"/>
      <c r="O50" s="1574"/>
      <c r="P50" s="1574"/>
      <c r="Q50" s="1574"/>
      <c r="R50" s="1574"/>
    </row>
    <row r="51" spans="1:18" ht="14.25">
      <c r="A51" s="1574"/>
      <c r="B51" s="1574"/>
      <c r="C51" s="1574"/>
      <c r="D51" s="1574"/>
      <c r="E51" s="1574"/>
      <c r="F51" s="1574"/>
      <c r="G51" s="1574"/>
      <c r="H51" s="1574"/>
      <c r="I51" s="1574"/>
      <c r="J51" s="1574"/>
      <c r="K51" s="1574"/>
      <c r="L51" s="1574"/>
      <c r="M51" s="1574"/>
      <c r="N51" s="1574"/>
      <c r="O51" s="1574"/>
      <c r="P51" s="1574"/>
      <c r="Q51" s="1574"/>
      <c r="R51" s="1574"/>
    </row>
    <row r="52" spans="1:18" ht="15.4" thickBot="1">
      <c r="A52" s="1470" t="s">
        <v>441</v>
      </c>
      <c r="B52" s="1574"/>
      <c r="C52" s="1574"/>
      <c r="D52" s="1574"/>
      <c r="E52" s="1577"/>
      <c r="F52" s="1574"/>
      <c r="G52" s="1574"/>
      <c r="H52" s="1574"/>
      <c r="I52" s="1574"/>
      <c r="J52" s="1574"/>
      <c r="K52" s="1574"/>
      <c r="L52" s="1574"/>
      <c r="M52" s="1574"/>
      <c r="N52" s="1574"/>
      <c r="O52" s="1574"/>
      <c r="P52" s="1574"/>
      <c r="Q52" s="1574"/>
      <c r="R52" s="1574"/>
    </row>
    <row r="53" spans="1:18" ht="14.65" thickBot="1">
      <c r="A53" s="1594"/>
      <c r="B53" s="1574"/>
      <c r="C53" s="1574"/>
      <c r="D53" s="1578" t="s">
        <v>370</v>
      </c>
      <c r="E53" s="1595" t="s">
        <v>427</v>
      </c>
      <c r="F53" s="1580" t="s">
        <v>418</v>
      </c>
      <c r="G53" s="1579" t="s">
        <v>375</v>
      </c>
      <c r="H53" s="1580" t="s">
        <v>379</v>
      </c>
      <c r="I53" s="1580" t="s">
        <v>380</v>
      </c>
      <c r="J53" s="1580" t="s">
        <v>381</v>
      </c>
      <c r="K53" s="1580" t="s">
        <v>382</v>
      </c>
      <c r="L53" s="1856" t="s">
        <v>139</v>
      </c>
      <c r="M53" s="1579" t="s">
        <v>1810</v>
      </c>
      <c r="N53" s="1574"/>
      <c r="O53" s="1574"/>
      <c r="P53" s="1574"/>
      <c r="Q53" s="1574"/>
      <c r="R53" s="1574"/>
    </row>
    <row r="54" spans="1:18" ht="14.25">
      <c r="A54" s="1625" t="s">
        <v>1824</v>
      </c>
      <c r="B54" s="1574"/>
      <c r="C54" s="1574"/>
      <c r="D54" s="1626">
        <v>38729000</v>
      </c>
      <c r="E54" s="1627">
        <v>30398511.57</v>
      </c>
      <c r="F54" s="1628">
        <f>D54-E54</f>
        <v>8330488.4299999997</v>
      </c>
      <c r="G54" s="1873" t="s">
        <v>389</v>
      </c>
      <c r="H54" s="1674" t="s">
        <v>1918</v>
      </c>
      <c r="I54" s="1630" t="s">
        <v>387</v>
      </c>
      <c r="J54" s="1630" t="s">
        <v>387</v>
      </c>
      <c r="K54" s="1630" t="s">
        <v>387</v>
      </c>
      <c r="L54" s="1874" t="s">
        <v>387</v>
      </c>
      <c r="M54" s="2926" t="s">
        <v>2604</v>
      </c>
      <c r="N54" s="1574"/>
      <c r="O54" s="1574"/>
      <c r="P54" s="1574"/>
      <c r="Q54" s="1574"/>
      <c r="R54" s="1574"/>
    </row>
    <row r="55" spans="1:18" ht="14.25">
      <c r="A55" s="1625" t="s">
        <v>1954</v>
      </c>
      <c r="B55" s="1574"/>
      <c r="C55" s="1574"/>
      <c r="D55" s="1626">
        <v>35000000</v>
      </c>
      <c r="E55" s="1627">
        <v>19250000</v>
      </c>
      <c r="F55" s="1628">
        <f>D55-E55</f>
        <v>15750000</v>
      </c>
      <c r="G55" s="1630" t="s">
        <v>389</v>
      </c>
      <c r="H55" s="1674" t="s">
        <v>1955</v>
      </c>
      <c r="I55" s="1630" t="s">
        <v>387</v>
      </c>
      <c r="J55" s="1630" t="s">
        <v>387</v>
      </c>
      <c r="K55" s="1630" t="s">
        <v>387</v>
      </c>
      <c r="L55" s="1874" t="s">
        <v>387</v>
      </c>
      <c r="M55" s="1629">
        <v>2025</v>
      </c>
      <c r="N55" s="1574"/>
      <c r="O55" s="1574"/>
      <c r="P55" s="1574"/>
      <c r="Q55" s="1574"/>
      <c r="R55" s="1574"/>
    </row>
    <row r="56" spans="1:18" ht="14.25">
      <c r="A56" s="1625" t="s">
        <v>2309</v>
      </c>
      <c r="B56" s="1574"/>
      <c r="C56" s="1574"/>
      <c r="D56" s="1626" t="s">
        <v>2310</v>
      </c>
      <c r="E56" s="1627">
        <v>0</v>
      </c>
      <c r="F56" s="1628" t="s">
        <v>2311</v>
      </c>
      <c r="G56" s="1630" t="s">
        <v>2312</v>
      </c>
      <c r="H56" s="1674"/>
      <c r="I56" s="1630" t="s">
        <v>391</v>
      </c>
      <c r="J56" s="1630" t="s">
        <v>391</v>
      </c>
      <c r="K56" s="1630" t="s">
        <v>391</v>
      </c>
      <c r="L56" s="1874" t="s">
        <v>391</v>
      </c>
      <c r="M56" s="1666">
        <v>2025</v>
      </c>
      <c r="N56" s="1574"/>
      <c r="O56" s="1574"/>
      <c r="P56" s="1574"/>
      <c r="Q56" s="1574"/>
      <c r="R56" s="1574"/>
    </row>
    <row r="57" spans="1:18" ht="14.25">
      <c r="A57" s="1625" t="s">
        <v>2608</v>
      </c>
      <c r="B57" s="1574"/>
      <c r="C57" s="1574"/>
      <c r="D57" s="1875">
        <v>9500000</v>
      </c>
      <c r="E57" s="1876">
        <v>0</v>
      </c>
      <c r="F57" s="1877">
        <v>9500000</v>
      </c>
      <c r="G57" s="1878" t="s">
        <v>389</v>
      </c>
      <c r="H57" s="1879"/>
      <c r="I57" s="1878" t="s">
        <v>391</v>
      </c>
      <c r="J57" s="1878" t="s">
        <v>391</v>
      </c>
      <c r="K57" s="1878" t="s">
        <v>391</v>
      </c>
      <c r="L57" s="1880" t="s">
        <v>391</v>
      </c>
      <c r="M57" s="2927" t="s">
        <v>2609</v>
      </c>
      <c r="N57" s="1574"/>
      <c r="O57" s="1574"/>
      <c r="P57" s="1574"/>
      <c r="Q57" s="1574"/>
      <c r="R57" s="1574"/>
    </row>
    <row r="58" spans="1:18" ht="14.25">
      <c r="A58" s="1574"/>
      <c r="B58" s="1574"/>
      <c r="C58" s="1574"/>
      <c r="D58" s="1577"/>
      <c r="E58" s="1577"/>
      <c r="F58" s="1577"/>
      <c r="G58" s="1574"/>
      <c r="H58" s="1574"/>
      <c r="I58" s="1574"/>
      <c r="J58" s="1574"/>
      <c r="K58" s="1574"/>
      <c r="L58" s="1574"/>
      <c r="M58" s="1574"/>
      <c r="N58" s="1574"/>
      <c r="O58" s="1574"/>
      <c r="P58" s="1574"/>
      <c r="Q58" s="1574"/>
      <c r="R58" s="1574"/>
    </row>
    <row r="59" spans="1:18" ht="14.25">
      <c r="A59" s="1575" t="s">
        <v>416</v>
      </c>
      <c r="B59" s="1574"/>
      <c r="C59" s="1574"/>
      <c r="D59" s="1577">
        <f>SUM(D54:D57)+100000</f>
        <v>83329000</v>
      </c>
      <c r="E59" s="1577">
        <f>SUM(E54:E57)</f>
        <v>49648511.57</v>
      </c>
      <c r="F59" s="1577">
        <f>SUM(F54:F57)+100000</f>
        <v>33680488.43</v>
      </c>
      <c r="G59" s="1577"/>
      <c r="H59" s="1574"/>
      <c r="I59" s="1574"/>
      <c r="J59" s="1574"/>
      <c r="K59" s="1574"/>
      <c r="L59" s="1574"/>
      <c r="M59" s="1574"/>
      <c r="N59" s="1574"/>
      <c r="O59" s="1574"/>
      <c r="P59" s="1574"/>
      <c r="Q59" s="1574"/>
      <c r="R59" s="1574"/>
    </row>
    <row r="60" spans="1:18" ht="14.25">
      <c r="A60" s="1575"/>
      <c r="B60" s="1574"/>
      <c r="C60" s="1574"/>
      <c r="D60" s="1577"/>
      <c r="E60" s="1577"/>
      <c r="F60" s="1577"/>
      <c r="G60" s="1577"/>
      <c r="H60" s="1574"/>
      <c r="I60" s="1574"/>
      <c r="J60" s="1574"/>
      <c r="K60" s="1574"/>
      <c r="L60" s="1574"/>
      <c r="M60" s="1574"/>
      <c r="N60" s="1574"/>
      <c r="O60" s="1574"/>
      <c r="P60" s="1574"/>
      <c r="Q60" s="1574"/>
      <c r="R60" s="1574"/>
    </row>
    <row r="61" spans="1:18" ht="36">
      <c r="A61" s="1647" t="s">
        <v>2610</v>
      </c>
      <c r="B61" s="1574"/>
      <c r="C61" s="1574"/>
      <c r="D61" s="1574"/>
      <c r="E61" s="1574"/>
      <c r="F61" s="1574"/>
      <c r="G61" s="1574"/>
      <c r="H61" s="1574"/>
      <c r="I61" s="1574"/>
      <c r="J61" s="1574"/>
      <c r="K61" s="1574"/>
      <c r="L61" s="1574"/>
      <c r="M61" s="1574"/>
      <c r="N61" s="1574"/>
      <c r="O61" s="1574"/>
      <c r="P61" s="1574"/>
      <c r="Q61" s="1574"/>
      <c r="R61" s="1574"/>
    </row>
    <row r="62" spans="1:18" ht="36">
      <c r="A62" s="1647"/>
      <c r="B62" s="1574"/>
      <c r="C62" s="1574"/>
      <c r="D62" s="1574"/>
      <c r="E62" s="1574"/>
      <c r="F62" s="1574"/>
      <c r="G62" s="1574"/>
      <c r="H62" s="1574"/>
      <c r="I62" s="1574"/>
      <c r="J62" s="1574"/>
      <c r="K62" s="1574"/>
      <c r="L62" s="1574"/>
      <c r="M62" s="1574"/>
      <c r="N62" s="1574"/>
      <c r="O62" s="1574"/>
      <c r="P62" s="1574"/>
      <c r="Q62" s="1574"/>
      <c r="R62" s="1574"/>
    </row>
    <row r="63" spans="1:18" ht="18.399999999999999" thickBot="1">
      <c r="A63" s="1648" t="s">
        <v>367</v>
      </c>
      <c r="B63" s="1575"/>
      <c r="C63" s="1575"/>
      <c r="D63" s="1574"/>
      <c r="E63" s="1574"/>
      <c r="F63" s="1574"/>
      <c r="G63" s="1574"/>
      <c r="H63" s="1574"/>
      <c r="I63" s="1574"/>
      <c r="J63" s="1574"/>
      <c r="K63" s="1574"/>
      <c r="L63" s="1574"/>
      <c r="M63" s="1574"/>
      <c r="N63" s="1574"/>
      <c r="O63" s="1574"/>
      <c r="P63" s="1574"/>
      <c r="Q63" s="1574"/>
      <c r="R63" s="1574"/>
    </row>
    <row r="64" spans="1:18" ht="18">
      <c r="A64" s="1882"/>
      <c r="B64" s="1883" t="s">
        <v>368</v>
      </c>
      <c r="C64" s="1883" t="s">
        <v>369</v>
      </c>
      <c r="D64" s="1883" t="s">
        <v>1808</v>
      </c>
      <c r="E64" s="1883" t="s">
        <v>371</v>
      </c>
      <c r="F64" s="1883" t="s">
        <v>1809</v>
      </c>
      <c r="G64" s="1883" t="s">
        <v>375</v>
      </c>
      <c r="H64" s="1884" t="s">
        <v>77</v>
      </c>
      <c r="I64" s="1884" t="s">
        <v>78</v>
      </c>
      <c r="J64" s="1884" t="s">
        <v>376</v>
      </c>
      <c r="K64" s="1884" t="s">
        <v>377</v>
      </c>
      <c r="L64" s="1884" t="s">
        <v>378</v>
      </c>
      <c r="M64" s="1883" t="s">
        <v>379</v>
      </c>
      <c r="N64" s="1883" t="s">
        <v>380</v>
      </c>
      <c r="O64" s="1883" t="s">
        <v>381</v>
      </c>
      <c r="P64" s="1883" t="s">
        <v>382</v>
      </c>
      <c r="Q64" s="1885" t="s">
        <v>139</v>
      </c>
      <c r="R64" s="1574"/>
    </row>
    <row r="65" spans="1:21" ht="14.25">
      <c r="A65" s="1542" t="s">
        <v>1847</v>
      </c>
      <c r="B65" s="1543"/>
      <c r="C65" s="1543">
        <v>1</v>
      </c>
      <c r="D65" s="1544">
        <v>26100000</v>
      </c>
      <c r="E65" s="1544">
        <v>13100000</v>
      </c>
      <c r="F65" s="1544">
        <f t="shared" ref="F65:F71" si="2">D65-E65</f>
        <v>13000000</v>
      </c>
      <c r="G65" s="1545" t="s">
        <v>389</v>
      </c>
      <c r="H65" s="1546" t="s">
        <v>386</v>
      </c>
      <c r="I65" s="1546" t="s">
        <v>386</v>
      </c>
      <c r="J65" s="1546" t="s">
        <v>386</v>
      </c>
      <c r="K65" s="1550" t="s">
        <v>386</v>
      </c>
      <c r="L65" s="1550" t="s">
        <v>386</v>
      </c>
      <c r="M65" s="1545" t="s">
        <v>1960</v>
      </c>
      <c r="N65" s="1545" t="s">
        <v>391</v>
      </c>
      <c r="O65" s="1545" t="s">
        <v>391</v>
      </c>
      <c r="P65" s="1545" t="s">
        <v>391</v>
      </c>
      <c r="Q65" s="1547" t="s">
        <v>391</v>
      </c>
      <c r="R65" s="1574"/>
    </row>
    <row r="66" spans="1:21" ht="14.25">
      <c r="A66" s="1542" t="s">
        <v>1961</v>
      </c>
      <c r="B66" s="1543"/>
      <c r="C66" s="1543"/>
      <c r="D66" s="1544">
        <v>17300000</v>
      </c>
      <c r="E66" s="1544">
        <v>13000000</v>
      </c>
      <c r="F66" s="1544">
        <f t="shared" si="2"/>
        <v>4300000</v>
      </c>
      <c r="G66" s="1549" t="s">
        <v>389</v>
      </c>
      <c r="H66" s="1555" t="s">
        <v>386</v>
      </c>
      <c r="I66" s="1555" t="s">
        <v>386</v>
      </c>
      <c r="J66" s="1555" t="s">
        <v>386</v>
      </c>
      <c r="K66" s="1556" t="s">
        <v>386</v>
      </c>
      <c r="L66" s="1556" t="s">
        <v>386</v>
      </c>
      <c r="M66" s="1549" t="s">
        <v>1960</v>
      </c>
      <c r="N66" s="1549" t="s">
        <v>391</v>
      </c>
      <c r="O66" s="1549" t="s">
        <v>391</v>
      </c>
      <c r="P66" s="1549" t="s">
        <v>391</v>
      </c>
      <c r="Q66" s="1558" t="s">
        <v>391</v>
      </c>
      <c r="R66" s="1574"/>
    </row>
    <row r="67" spans="1:21" ht="14.25">
      <c r="A67" s="1553" t="s">
        <v>1848</v>
      </c>
      <c r="B67" s="1555">
        <v>180</v>
      </c>
      <c r="C67" s="1554">
        <v>12</v>
      </c>
      <c r="D67" s="1544">
        <f>5300*B67</f>
        <v>954000</v>
      </c>
      <c r="E67" s="1544">
        <f>0*D67</f>
        <v>0</v>
      </c>
      <c r="F67" s="1544">
        <f t="shared" si="2"/>
        <v>954000</v>
      </c>
      <c r="G67" s="1549" t="s">
        <v>389</v>
      </c>
      <c r="H67" s="1555" t="s">
        <v>386</v>
      </c>
      <c r="I67" s="1555" t="s">
        <v>386</v>
      </c>
      <c r="J67" s="1555" t="s">
        <v>386</v>
      </c>
      <c r="K67" s="1556" t="s">
        <v>400</v>
      </c>
      <c r="L67" s="1556" t="s">
        <v>400</v>
      </c>
      <c r="M67" s="1549" t="s">
        <v>412</v>
      </c>
      <c r="N67" s="1549" t="s">
        <v>391</v>
      </c>
      <c r="O67" s="1549" t="s">
        <v>391</v>
      </c>
      <c r="P67" s="1549" t="s">
        <v>391</v>
      </c>
      <c r="Q67" s="1558" t="s">
        <v>391</v>
      </c>
      <c r="R67" s="1574"/>
    </row>
    <row r="68" spans="1:21" ht="14.25">
      <c r="A68" s="1548" t="s">
        <v>1849</v>
      </c>
      <c r="B68" s="1546">
        <v>100</v>
      </c>
      <c r="C68" s="1554">
        <v>17</v>
      </c>
      <c r="D68" s="1544">
        <f>5300*B68</f>
        <v>530000</v>
      </c>
      <c r="E68" s="1544">
        <v>0</v>
      </c>
      <c r="F68" s="1544">
        <f t="shared" si="2"/>
        <v>530000</v>
      </c>
      <c r="G68" s="1549" t="s">
        <v>389</v>
      </c>
      <c r="H68" s="1546" t="s">
        <v>386</v>
      </c>
      <c r="I68" s="1546" t="s">
        <v>386</v>
      </c>
      <c r="J68" s="1546" t="s">
        <v>386</v>
      </c>
      <c r="K68" s="1550" t="s">
        <v>400</v>
      </c>
      <c r="L68" s="1546" t="s">
        <v>386</v>
      </c>
      <c r="M68" s="1545" t="s">
        <v>412</v>
      </c>
      <c r="N68" s="1545" t="s">
        <v>391</v>
      </c>
      <c r="O68" s="1545" t="s">
        <v>391</v>
      </c>
      <c r="P68" s="1545" t="s">
        <v>391</v>
      </c>
      <c r="Q68" s="1547" t="s">
        <v>391</v>
      </c>
      <c r="R68" s="1574"/>
      <c r="S68" s="1466"/>
      <c r="U68" s="1467"/>
    </row>
    <row r="69" spans="1:21" ht="14.25">
      <c r="A69" s="1881" t="s">
        <v>2611</v>
      </c>
      <c r="B69" s="2928"/>
      <c r="C69" s="1549"/>
      <c r="D69" s="1632">
        <v>4500000</v>
      </c>
      <c r="E69" s="1632">
        <v>0</v>
      </c>
      <c r="F69" s="1632">
        <v>4500000</v>
      </c>
      <c r="G69" s="1631" t="s">
        <v>389</v>
      </c>
      <c r="H69" s="1631"/>
      <c r="I69" s="2929" t="s">
        <v>400</v>
      </c>
      <c r="J69" s="2929" t="s">
        <v>400</v>
      </c>
      <c r="K69" s="2929" t="s">
        <v>400</v>
      </c>
      <c r="L69" s="2929" t="s">
        <v>400</v>
      </c>
      <c r="M69" s="2930" t="s">
        <v>412</v>
      </c>
      <c r="N69" s="2931" t="s">
        <v>391</v>
      </c>
      <c r="O69" s="1549" t="s">
        <v>391</v>
      </c>
      <c r="P69" s="1549" t="s">
        <v>391</v>
      </c>
      <c r="Q69" s="1549" t="s">
        <v>391</v>
      </c>
      <c r="R69" s="1574"/>
    </row>
    <row r="70" spans="1:21" ht="14.25">
      <c r="A70" s="1553" t="s">
        <v>411</v>
      </c>
      <c r="B70" s="1555">
        <v>520</v>
      </c>
      <c r="C70" s="1543">
        <v>13</v>
      </c>
      <c r="D70" s="1544">
        <f>5300*B70</f>
        <v>2756000</v>
      </c>
      <c r="E70" s="1544">
        <f>0*D70</f>
        <v>0</v>
      </c>
      <c r="F70" s="1544">
        <f t="shared" si="2"/>
        <v>2756000</v>
      </c>
      <c r="G70" s="1545" t="s">
        <v>389</v>
      </c>
      <c r="H70" s="1546" t="s">
        <v>386</v>
      </c>
      <c r="I70" s="1546" t="s">
        <v>386</v>
      </c>
      <c r="J70" s="1546" t="s">
        <v>386</v>
      </c>
      <c r="K70" s="1546" t="s">
        <v>386</v>
      </c>
      <c r="L70" s="1550" t="s">
        <v>400</v>
      </c>
      <c r="M70" s="1552" t="s">
        <v>412</v>
      </c>
      <c r="N70" s="1549" t="s">
        <v>391</v>
      </c>
      <c r="O70" s="1549" t="s">
        <v>391</v>
      </c>
      <c r="P70" s="1549" t="s">
        <v>391</v>
      </c>
      <c r="Q70" s="1558" t="s">
        <v>391</v>
      </c>
      <c r="R70" s="1591"/>
      <c r="S70" s="1466"/>
      <c r="U70" s="1467"/>
    </row>
    <row r="71" spans="1:21" ht="14.25">
      <c r="A71" s="1549" t="s">
        <v>1850</v>
      </c>
      <c r="B71" s="1555">
        <v>70</v>
      </c>
      <c r="C71" s="1554">
        <v>17</v>
      </c>
      <c r="D71" s="1560">
        <f>5300*B71</f>
        <v>371000</v>
      </c>
      <c r="E71" s="1560">
        <f>0*D71</f>
        <v>0</v>
      </c>
      <c r="F71" s="1560">
        <f t="shared" si="2"/>
        <v>371000</v>
      </c>
      <c r="G71" s="1549" t="s">
        <v>389</v>
      </c>
      <c r="H71" s="1555" t="s">
        <v>386</v>
      </c>
      <c r="I71" s="1555" t="s">
        <v>386</v>
      </c>
      <c r="J71" s="1555" t="s">
        <v>386</v>
      </c>
      <c r="K71" s="1555" t="s">
        <v>386</v>
      </c>
      <c r="L71" s="1555" t="s">
        <v>386</v>
      </c>
      <c r="M71" s="2930" t="s">
        <v>412</v>
      </c>
      <c r="N71" s="1549" t="s">
        <v>391</v>
      </c>
      <c r="O71" s="1549" t="s">
        <v>391</v>
      </c>
      <c r="P71" s="1549" t="s">
        <v>391</v>
      </c>
      <c r="Q71" s="1549" t="s">
        <v>391</v>
      </c>
      <c r="R71" s="1574"/>
    </row>
    <row r="72" spans="1:21" ht="14.25">
      <c r="A72" s="1631" t="s">
        <v>513</v>
      </c>
      <c r="B72" s="1555"/>
      <c r="C72" s="1549"/>
      <c r="D72" s="1632">
        <v>2600000</v>
      </c>
      <c r="E72" s="1632">
        <v>0</v>
      </c>
      <c r="F72" s="1632">
        <v>2600000</v>
      </c>
      <c r="G72" s="1631" t="s">
        <v>389</v>
      </c>
      <c r="H72" s="1631"/>
      <c r="I72" s="2929" t="s">
        <v>400</v>
      </c>
      <c r="J72" s="2929" t="s">
        <v>400</v>
      </c>
      <c r="K72" s="2929" t="s">
        <v>400</v>
      </c>
      <c r="L72" s="2929" t="s">
        <v>400</v>
      </c>
      <c r="M72" s="2932" t="s">
        <v>412</v>
      </c>
      <c r="N72" s="1549" t="s">
        <v>391</v>
      </c>
      <c r="O72" s="1549" t="s">
        <v>391</v>
      </c>
      <c r="P72" s="1549" t="s">
        <v>391</v>
      </c>
      <c r="Q72" s="1549" t="s">
        <v>391</v>
      </c>
      <c r="R72" s="1574"/>
    </row>
    <row r="73" spans="1:21" ht="14.25">
      <c r="A73" s="1588" t="s">
        <v>2</v>
      </c>
      <c r="B73" s="2933">
        <f>SUM(B67:B71)</f>
        <v>870</v>
      </c>
      <c r="C73" s="1635"/>
      <c r="D73" s="1635">
        <v>55111000</v>
      </c>
      <c r="E73" s="1577">
        <f>SUM(E65:E71)</f>
        <v>26100000</v>
      </c>
      <c r="F73" s="1635">
        <v>29011000</v>
      </c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21" ht="14.25">
      <c r="A74" s="1588"/>
      <c r="B74" s="1635"/>
      <c r="C74" s="1635"/>
      <c r="D74" s="1574"/>
      <c r="E74" s="1574"/>
      <c r="F74" s="1635"/>
      <c r="G74" s="1574"/>
      <c r="H74" s="1574"/>
      <c r="I74" s="1574"/>
      <c r="J74" s="1574"/>
      <c r="K74" s="1574"/>
      <c r="L74" s="1574"/>
      <c r="M74" s="1574"/>
      <c r="N74" s="1574"/>
      <c r="O74" s="1574"/>
      <c r="P74" s="1574"/>
      <c r="Q74" s="1574"/>
      <c r="R74" s="1574"/>
    </row>
    <row r="75" spans="1:21" ht="18.399999999999999" thickBot="1">
      <c r="A75" s="1648" t="s">
        <v>1811</v>
      </c>
      <c r="B75" s="1635"/>
      <c r="C75" s="1635"/>
      <c r="D75" s="1574"/>
      <c r="E75" s="1574"/>
      <c r="F75" s="1574"/>
      <c r="G75" s="1574"/>
      <c r="H75" s="1574"/>
      <c r="I75" s="1574"/>
      <c r="J75" s="1574"/>
      <c r="K75" s="1574"/>
      <c r="L75" s="1574"/>
      <c r="M75" s="1574"/>
      <c r="N75" s="1574"/>
      <c r="O75" s="1574"/>
      <c r="P75" s="1574"/>
      <c r="Q75" s="1574"/>
      <c r="R75" s="1574"/>
    </row>
    <row r="76" spans="1:21" ht="18.399999999999999" thickBot="1">
      <c r="A76" s="1648"/>
      <c r="B76" s="1594" t="s">
        <v>368</v>
      </c>
      <c r="C76" s="1574"/>
      <c r="D76" s="1578" t="s">
        <v>1812</v>
      </c>
      <c r="E76" s="1580" t="s">
        <v>417</v>
      </c>
      <c r="F76" s="1580" t="s">
        <v>1809</v>
      </c>
      <c r="G76" s="1579" t="s">
        <v>375</v>
      </c>
      <c r="H76" s="1574"/>
      <c r="I76" s="1574"/>
      <c r="J76" s="1574"/>
      <c r="K76" s="1574"/>
      <c r="L76" s="1574"/>
      <c r="M76" s="1574"/>
      <c r="N76" s="1574"/>
      <c r="O76" s="1574"/>
      <c r="P76" s="1574"/>
      <c r="Q76" s="1574"/>
      <c r="R76" s="1574"/>
    </row>
    <row r="77" spans="1:21" ht="14.65" thickBot="1">
      <c r="A77" s="1886" t="s">
        <v>1962</v>
      </c>
      <c r="B77" s="1694">
        <v>3000</v>
      </c>
      <c r="C77" s="1591"/>
      <c r="D77" s="1654">
        <v>500000</v>
      </c>
      <c r="E77" s="1655">
        <v>0</v>
      </c>
      <c r="F77" s="1655">
        <f>D77-E77</f>
        <v>500000</v>
      </c>
      <c r="G77" s="1696" t="s">
        <v>389</v>
      </c>
      <c r="H77" s="1695" t="s">
        <v>420</v>
      </c>
      <c r="I77" s="1592" t="s">
        <v>387</v>
      </c>
      <c r="J77" s="1592" t="s">
        <v>387</v>
      </c>
      <c r="K77" s="1592" t="s">
        <v>391</v>
      </c>
      <c r="L77" s="1592" t="s">
        <v>391</v>
      </c>
      <c r="M77" s="1592">
        <v>2026</v>
      </c>
      <c r="N77" s="1574"/>
      <c r="O77" s="1574"/>
      <c r="P77" s="1574"/>
      <c r="Q77" s="1574"/>
      <c r="R77" s="1574"/>
    </row>
    <row r="78" spans="1:21" ht="14.25">
      <c r="A78" s="1588" t="s">
        <v>2</v>
      </c>
      <c r="B78" s="1635"/>
      <c r="C78" s="1635"/>
      <c r="D78" s="1635">
        <f>D77</f>
        <v>500000</v>
      </c>
      <c r="E78" s="1635"/>
      <c r="F78" s="1635">
        <v>0</v>
      </c>
      <c r="G78" s="1574"/>
      <c r="H78" s="1574"/>
      <c r="I78" s="1574"/>
      <c r="J78" s="1574"/>
      <c r="K78" s="1574"/>
      <c r="L78" s="1574"/>
      <c r="M78" s="1574"/>
      <c r="N78" s="1574"/>
      <c r="O78" s="1574"/>
      <c r="P78" s="1574"/>
      <c r="Q78" s="1574"/>
      <c r="R78" s="1574"/>
    </row>
    <row r="79" spans="1:21" ht="21">
      <c r="A79" s="1637"/>
      <c r="B79" s="1574"/>
      <c r="C79" s="1656"/>
      <c r="D79" s="1574"/>
      <c r="E79" s="1574"/>
      <c r="F79" s="1574"/>
      <c r="G79" s="1574"/>
      <c r="H79" s="1574"/>
      <c r="I79" s="1574"/>
      <c r="J79" s="1574"/>
      <c r="K79" s="1574"/>
      <c r="L79" s="1574"/>
      <c r="M79" s="1574"/>
      <c r="N79" s="1574"/>
      <c r="O79" s="1574"/>
      <c r="P79" s="1574"/>
      <c r="Q79" s="1574"/>
      <c r="R79" s="1574"/>
    </row>
    <row r="80" spans="1:21" ht="18.399999999999999" thickBot="1">
      <c r="A80" s="1648" t="s">
        <v>436</v>
      </c>
      <c r="B80" s="1574"/>
      <c r="C80" s="1574"/>
      <c r="D80" s="1574"/>
      <c r="E80" s="1577"/>
      <c r="F80" s="1574"/>
      <c r="G80" s="1574"/>
      <c r="H80" s="1574"/>
      <c r="I80" s="1574"/>
      <c r="J80" s="1574"/>
      <c r="K80" s="1574"/>
      <c r="L80" s="1574"/>
      <c r="M80" s="1574"/>
      <c r="N80" s="1574"/>
      <c r="O80" s="1574"/>
      <c r="P80" s="1574"/>
      <c r="Q80" s="1574"/>
      <c r="R80" s="1574"/>
    </row>
    <row r="81" spans="1:18" ht="14.65" thickBot="1">
      <c r="A81" s="1594"/>
      <c r="B81" s="1574"/>
      <c r="C81" s="1574"/>
      <c r="D81" s="1578" t="s">
        <v>370</v>
      </c>
      <c r="E81" s="1595" t="s">
        <v>1814</v>
      </c>
      <c r="F81" s="1580" t="s">
        <v>418</v>
      </c>
      <c r="G81" s="1579" t="s">
        <v>375</v>
      </c>
      <c r="H81" s="1574"/>
      <c r="I81" s="1574"/>
      <c r="J81" s="1574"/>
      <c r="K81" s="1574"/>
      <c r="L81" s="1574"/>
      <c r="M81" s="1574"/>
      <c r="N81" s="1574"/>
      <c r="O81" s="1574"/>
      <c r="P81" s="1574"/>
      <c r="Q81" s="1574"/>
      <c r="R81" s="1574"/>
    </row>
    <row r="82" spans="1:18" ht="14.25">
      <c r="A82" s="1610" t="s">
        <v>1963</v>
      </c>
      <c r="B82" s="1574"/>
      <c r="C82" s="1574"/>
      <c r="D82" s="1611">
        <v>17000000</v>
      </c>
      <c r="E82" s="1612">
        <v>4000000</v>
      </c>
      <c r="F82" s="1613">
        <f>D82-E82</f>
        <v>13000000</v>
      </c>
      <c r="G82" s="1614" t="s">
        <v>389</v>
      </c>
      <c r="H82" s="1574"/>
      <c r="I82" s="1574"/>
      <c r="J82" s="1574"/>
      <c r="K82" s="1574"/>
      <c r="L82" s="1574"/>
      <c r="M82" s="1574"/>
      <c r="N82" s="1574"/>
      <c r="O82" s="1574"/>
      <c r="P82" s="1574"/>
      <c r="Q82" s="1574"/>
      <c r="R82" s="1574"/>
    </row>
    <row r="83" spans="1:18" ht="14.25">
      <c r="A83" s="1610" t="s">
        <v>437</v>
      </c>
      <c r="B83" s="1574"/>
      <c r="C83" s="1574"/>
      <c r="D83" s="1611">
        <v>28000000</v>
      </c>
      <c r="E83" s="1612">
        <v>19000000</v>
      </c>
      <c r="F83" s="1613">
        <f>D83-E83</f>
        <v>9000000</v>
      </c>
      <c r="G83" s="1614" t="s">
        <v>385</v>
      </c>
      <c r="H83" s="1574"/>
      <c r="I83" s="1574"/>
      <c r="J83" s="1574"/>
      <c r="K83" s="1574"/>
      <c r="L83" s="1574"/>
      <c r="M83" s="1574"/>
      <c r="N83" s="1574"/>
      <c r="O83" s="1574"/>
      <c r="P83" s="1574"/>
      <c r="Q83" s="1574"/>
      <c r="R83" s="1574"/>
    </row>
    <row r="84" spans="1:18" ht="14.65" thickBot="1">
      <c r="A84" s="1887" t="s">
        <v>1964</v>
      </c>
      <c r="B84" s="1574"/>
      <c r="C84" s="1574"/>
      <c r="D84" s="1888">
        <v>55000000</v>
      </c>
      <c r="E84" s="1889">
        <f>F84</f>
        <v>27500000</v>
      </c>
      <c r="F84" s="1890">
        <f>D84/2</f>
        <v>27500000</v>
      </c>
      <c r="G84" s="1891" t="s">
        <v>389</v>
      </c>
      <c r="H84" s="1892" t="s">
        <v>1965</v>
      </c>
      <c r="I84" s="1658" t="s">
        <v>391</v>
      </c>
      <c r="J84" s="1658" t="s">
        <v>391</v>
      </c>
      <c r="K84" s="1658" t="s">
        <v>391</v>
      </c>
      <c r="L84" s="1658" t="s">
        <v>391</v>
      </c>
      <c r="M84" s="1658">
        <v>2026</v>
      </c>
      <c r="N84" s="1574"/>
      <c r="O84" s="1574"/>
      <c r="P84" s="1574"/>
      <c r="Q84" s="1574"/>
      <c r="R84" s="1574"/>
    </row>
    <row r="85" spans="1:18" ht="14.25">
      <c r="A85" s="1574" t="s">
        <v>2</v>
      </c>
      <c r="B85" s="1574"/>
      <c r="C85" s="1574"/>
      <c r="D85" s="1635">
        <f>SUM(D82:D84)</f>
        <v>100000000</v>
      </c>
      <c r="E85" s="1635">
        <f>SUM(E82:E84)</f>
        <v>50500000</v>
      </c>
      <c r="F85" s="1635">
        <f>SUM(F82:F84)</f>
        <v>49500000</v>
      </c>
      <c r="G85" s="1574"/>
      <c r="H85" s="1574"/>
      <c r="I85" s="1574"/>
      <c r="J85" s="1574"/>
      <c r="K85" s="1574"/>
      <c r="L85" s="1574"/>
      <c r="M85" s="1574"/>
      <c r="N85" s="1574"/>
      <c r="O85" s="1574"/>
      <c r="P85" s="1574"/>
      <c r="Q85" s="1574"/>
      <c r="R85" s="1574"/>
    </row>
    <row r="86" spans="1:18" ht="14.25">
      <c r="A86" s="1574"/>
      <c r="B86" s="1574"/>
      <c r="C86" s="1574"/>
      <c r="D86" s="1574"/>
      <c r="E86" s="1574"/>
      <c r="F86" s="1574"/>
      <c r="G86" s="1574"/>
      <c r="H86" s="1574"/>
      <c r="I86" s="1574"/>
      <c r="J86" s="1574"/>
      <c r="K86" s="1574"/>
      <c r="L86" s="1574"/>
      <c r="M86" s="1574"/>
      <c r="N86" s="1574"/>
      <c r="O86" s="1574"/>
      <c r="P86" s="1574"/>
      <c r="Q86" s="1574"/>
      <c r="R86" s="1574"/>
    </row>
    <row r="87" spans="1:18" ht="18.399999999999999" thickBot="1">
      <c r="A87" s="1648" t="s">
        <v>441</v>
      </c>
      <c r="B87" s="1574"/>
      <c r="C87" s="1574"/>
      <c r="D87" s="1574"/>
      <c r="E87" s="1577"/>
      <c r="F87" s="1574"/>
      <c r="G87" s="1574"/>
      <c r="H87" s="1574"/>
      <c r="I87" s="1574"/>
      <c r="J87" s="1574"/>
      <c r="K87" s="1574"/>
      <c r="L87" s="1574"/>
      <c r="M87" s="1574"/>
      <c r="N87" s="1574"/>
      <c r="O87" s="1574"/>
      <c r="P87" s="1574"/>
      <c r="Q87" s="1574"/>
      <c r="R87" s="1574"/>
    </row>
    <row r="88" spans="1:18" ht="14.65" thickBot="1">
      <c r="A88" s="1594"/>
      <c r="B88" s="1574"/>
      <c r="C88" s="1574"/>
      <c r="D88" s="1659" t="s">
        <v>370</v>
      </c>
      <c r="E88" s="1660" t="s">
        <v>427</v>
      </c>
      <c r="F88" s="1661" t="s">
        <v>418</v>
      </c>
      <c r="G88" s="1662" t="s">
        <v>375</v>
      </c>
      <c r="H88" s="1574"/>
      <c r="I88" s="1574"/>
      <c r="J88" s="1574"/>
      <c r="K88" s="1574"/>
      <c r="L88" s="1574"/>
      <c r="M88" s="1574"/>
      <c r="N88" s="1574"/>
      <c r="O88" s="1574"/>
      <c r="P88" s="1574"/>
      <c r="Q88" s="1574"/>
      <c r="R88" s="1574"/>
    </row>
    <row r="89" spans="1:18" ht="14.25">
      <c r="A89" s="1625" t="s">
        <v>444</v>
      </c>
      <c r="B89" s="1574"/>
      <c r="C89" s="1574"/>
      <c r="D89" s="1664">
        <v>8500000</v>
      </c>
      <c r="E89" s="1632">
        <v>3500000</v>
      </c>
      <c r="F89" s="1632">
        <f>D89-E89</f>
        <v>5000000</v>
      </c>
      <c r="G89" s="1666" t="s">
        <v>389</v>
      </c>
      <c r="H89" s="1574"/>
      <c r="I89" s="1574"/>
      <c r="J89" s="1574"/>
      <c r="K89" s="1574"/>
      <c r="L89" s="1574"/>
      <c r="M89" s="1574"/>
      <c r="N89" s="1574"/>
      <c r="O89" s="1574"/>
      <c r="P89" s="1574"/>
      <c r="Q89" s="1574"/>
      <c r="R89" s="1574"/>
    </row>
    <row r="90" spans="1:18" ht="14.25">
      <c r="A90" s="1625" t="s">
        <v>536</v>
      </c>
      <c r="B90" s="1574"/>
      <c r="C90" s="1574"/>
      <c r="D90" s="1626">
        <v>1130000000</v>
      </c>
      <c r="E90" s="1627">
        <f>0.78*D90</f>
        <v>881400000</v>
      </c>
      <c r="F90" s="1628">
        <f>(D90-E90)*0.64</f>
        <v>159104000</v>
      </c>
      <c r="G90" s="1629" t="s">
        <v>537</v>
      </c>
      <c r="H90" s="1893" t="s">
        <v>1968</v>
      </c>
      <c r="I90" s="1631" t="s">
        <v>387</v>
      </c>
      <c r="J90" s="1631" t="s">
        <v>387</v>
      </c>
      <c r="K90" s="1631" t="s">
        <v>1826</v>
      </c>
      <c r="L90" s="1631" t="s">
        <v>1826</v>
      </c>
      <c r="M90" s="1666">
        <v>2026</v>
      </c>
      <c r="N90" s="1574"/>
      <c r="O90" s="1574"/>
      <c r="P90" s="1574"/>
      <c r="Q90" s="1574"/>
      <c r="R90" s="1574"/>
    </row>
    <row r="91" spans="1:18" ht="14.25">
      <c r="A91" s="1625" t="s">
        <v>1920</v>
      </c>
      <c r="B91" s="1574"/>
      <c r="C91" s="1574"/>
      <c r="D91" s="1664">
        <v>65000000</v>
      </c>
      <c r="E91" s="1665">
        <v>0</v>
      </c>
      <c r="F91" s="1632">
        <v>65000000</v>
      </c>
      <c r="G91" s="1666" t="s">
        <v>389</v>
      </c>
      <c r="H91" s="1893" t="s">
        <v>1649</v>
      </c>
      <c r="I91" s="1631" t="s">
        <v>391</v>
      </c>
      <c r="J91" s="1631" t="s">
        <v>391</v>
      </c>
      <c r="K91" s="1631" t="s">
        <v>1826</v>
      </c>
      <c r="L91" s="1631" t="s">
        <v>391</v>
      </c>
      <c r="M91" s="1666">
        <v>2027</v>
      </c>
      <c r="N91" s="1574"/>
      <c r="O91" s="1574"/>
      <c r="P91" s="1574"/>
      <c r="Q91" s="1574"/>
      <c r="R91" s="1574"/>
    </row>
    <row r="92" spans="1:18" ht="14.25">
      <c r="A92" s="1625" t="s">
        <v>442</v>
      </c>
      <c r="B92" s="1574"/>
      <c r="C92" s="1574"/>
      <c r="D92" s="1626">
        <v>15000000</v>
      </c>
      <c r="E92" s="1627">
        <v>0</v>
      </c>
      <c r="F92" s="1628">
        <f>D92-E92</f>
        <v>15000000</v>
      </c>
      <c r="G92" s="1629" t="s">
        <v>389</v>
      </c>
      <c r="H92" s="1894" t="s">
        <v>1969</v>
      </c>
      <c r="I92" s="1630" t="s">
        <v>391</v>
      </c>
      <c r="J92" s="1630" t="s">
        <v>391</v>
      </c>
      <c r="K92" s="1630" t="s">
        <v>1826</v>
      </c>
      <c r="L92" s="1630" t="s">
        <v>391</v>
      </c>
      <c r="M92" s="1629">
        <v>2026</v>
      </c>
      <c r="N92" s="1574"/>
      <c r="O92" s="1574"/>
      <c r="P92" s="1574"/>
      <c r="Q92" s="1574"/>
      <c r="R92" s="1574"/>
    </row>
    <row r="93" spans="1:18" ht="14.65" thickBot="1">
      <c r="A93" s="1667" t="s">
        <v>446</v>
      </c>
      <c r="B93" s="1574"/>
      <c r="C93" s="1574"/>
      <c r="D93" s="1668">
        <v>3000000</v>
      </c>
      <c r="E93" s="1669">
        <v>0</v>
      </c>
      <c r="F93" s="1670">
        <f>D93-E93</f>
        <v>3000000</v>
      </c>
      <c r="G93" s="1671" t="s">
        <v>389</v>
      </c>
      <c r="H93" s="1895" t="s">
        <v>432</v>
      </c>
      <c r="I93" s="1672" t="s">
        <v>387</v>
      </c>
      <c r="J93" s="1672" t="s">
        <v>387</v>
      </c>
      <c r="K93" s="1672" t="s">
        <v>387</v>
      </c>
      <c r="L93" s="1672" t="s">
        <v>387</v>
      </c>
      <c r="M93" s="1671">
        <v>2026</v>
      </c>
      <c r="N93" s="1574"/>
      <c r="O93" s="1574"/>
      <c r="P93" s="1574"/>
      <c r="Q93" s="1574"/>
      <c r="R93" s="1574"/>
    </row>
    <row r="94" spans="1:18" ht="14.25">
      <c r="A94" s="1591"/>
      <c r="B94" s="1591"/>
      <c r="C94" s="1591"/>
      <c r="D94" s="1673"/>
      <c r="E94" s="1673"/>
      <c r="F94" s="1673"/>
      <c r="G94" s="1591"/>
      <c r="H94" s="1591"/>
      <c r="I94" s="1591"/>
      <c r="J94" s="1591"/>
      <c r="K94" s="1591"/>
      <c r="L94" s="1591"/>
      <c r="M94" s="1591"/>
      <c r="N94" s="1574"/>
      <c r="O94" s="1574"/>
      <c r="P94" s="1574"/>
      <c r="Q94" s="1574"/>
      <c r="R94" s="1574"/>
    </row>
    <row r="95" spans="1:18" ht="14.25">
      <c r="A95" s="1588" t="s">
        <v>416</v>
      </c>
      <c r="B95" s="1588"/>
      <c r="C95" s="1588"/>
      <c r="D95" s="1635">
        <f>SUM(D89:D93)</f>
        <v>1221500000</v>
      </c>
      <c r="E95" s="1635">
        <f>SUM(E89:E93)</f>
        <v>884900000</v>
      </c>
      <c r="F95" s="1635">
        <f>SUM(F89:F93)</f>
        <v>247104000</v>
      </c>
      <c r="G95" s="1577"/>
      <c r="H95" s="1574"/>
      <c r="I95" s="1574"/>
      <c r="J95" s="1574"/>
      <c r="K95" s="1574"/>
      <c r="L95" s="1574"/>
      <c r="M95" s="1574"/>
      <c r="N95" s="1574"/>
      <c r="O95" s="1574"/>
      <c r="P95" s="1574"/>
      <c r="Q95" s="1574"/>
      <c r="R95" s="1574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workbookViewId="0"/>
  </sheetViews>
  <sheetFormatPr defaultColWidth="8.86328125" defaultRowHeight="12.75" zeroHeight="1"/>
  <cols>
    <col min="1" max="1" width="66.59765625" style="1457" customWidth="1"/>
    <col min="2" max="2" width="19" style="1457" bestFit="1" customWidth="1"/>
    <col min="3" max="3" width="20" style="1457" bestFit="1" customWidth="1"/>
    <col min="4" max="4" width="27.265625" style="1457" customWidth="1"/>
    <col min="5" max="5" width="33.265625" style="1457" customWidth="1"/>
    <col min="6" max="6" width="27.73046875" style="1457" customWidth="1"/>
    <col min="7" max="7" width="22.265625" style="1457" customWidth="1"/>
    <col min="8" max="8" width="32" style="1457" customWidth="1"/>
    <col min="9" max="9" width="23.265625" style="1457" customWidth="1"/>
    <col min="10" max="10" width="18" style="1457" customWidth="1"/>
    <col min="11" max="11" width="16.73046875" style="1457" customWidth="1"/>
    <col min="12" max="12" width="13.265625" style="1457" customWidth="1"/>
    <col min="13" max="13" width="15.265625" style="1457" customWidth="1"/>
    <col min="14" max="14" width="11" style="1457" customWidth="1"/>
    <col min="15" max="16" width="9.73046875" style="1457" customWidth="1"/>
    <col min="17" max="17" width="10" style="1457" customWidth="1"/>
    <col min="18" max="19" width="17" style="1457" customWidth="1"/>
    <col min="20" max="256" width="8.86328125" style="1457"/>
    <col min="257" max="257" width="86.73046875" style="1457" customWidth="1"/>
    <col min="258" max="258" width="23" style="1457" customWidth="1"/>
    <col min="259" max="259" width="17.59765625" style="1457" customWidth="1"/>
    <col min="260" max="260" width="27.265625" style="1457" customWidth="1"/>
    <col min="261" max="261" width="33.265625" style="1457" customWidth="1"/>
    <col min="262" max="262" width="27.73046875" style="1457" customWidth="1"/>
    <col min="263" max="263" width="22.265625" style="1457" customWidth="1"/>
    <col min="264" max="264" width="32" style="1457" customWidth="1"/>
    <col min="265" max="265" width="23.265625" style="1457" customWidth="1"/>
    <col min="266" max="266" width="18" style="1457" customWidth="1"/>
    <col min="267" max="267" width="16.73046875" style="1457" customWidth="1"/>
    <col min="268" max="268" width="13.265625" style="1457" customWidth="1"/>
    <col min="269" max="269" width="15.265625" style="1457" customWidth="1"/>
    <col min="270" max="270" width="11" style="1457" customWidth="1"/>
    <col min="271" max="272" width="9.73046875" style="1457" customWidth="1"/>
    <col min="273" max="273" width="10" style="1457" customWidth="1"/>
    <col min="274" max="275" width="17" style="1457" customWidth="1"/>
    <col min="276" max="512" width="8.86328125" style="1457"/>
    <col min="513" max="513" width="86.73046875" style="1457" customWidth="1"/>
    <col min="514" max="514" width="23" style="1457" customWidth="1"/>
    <col min="515" max="515" width="17.59765625" style="1457" customWidth="1"/>
    <col min="516" max="516" width="27.265625" style="1457" customWidth="1"/>
    <col min="517" max="517" width="33.265625" style="1457" customWidth="1"/>
    <col min="518" max="518" width="27.73046875" style="1457" customWidth="1"/>
    <col min="519" max="519" width="22.265625" style="1457" customWidth="1"/>
    <col min="520" max="520" width="32" style="1457" customWidth="1"/>
    <col min="521" max="521" width="23.265625" style="1457" customWidth="1"/>
    <col min="522" max="522" width="18" style="1457" customWidth="1"/>
    <col min="523" max="523" width="16.73046875" style="1457" customWidth="1"/>
    <col min="524" max="524" width="13.265625" style="1457" customWidth="1"/>
    <col min="525" max="525" width="15.265625" style="1457" customWidth="1"/>
    <col min="526" max="526" width="11" style="1457" customWidth="1"/>
    <col min="527" max="528" width="9.73046875" style="1457" customWidth="1"/>
    <col min="529" max="529" width="10" style="1457" customWidth="1"/>
    <col min="530" max="531" width="17" style="1457" customWidth="1"/>
    <col min="532" max="768" width="8.86328125" style="1457"/>
    <col min="769" max="769" width="86.73046875" style="1457" customWidth="1"/>
    <col min="770" max="770" width="23" style="1457" customWidth="1"/>
    <col min="771" max="771" width="17.59765625" style="1457" customWidth="1"/>
    <col min="772" max="772" width="27.265625" style="1457" customWidth="1"/>
    <col min="773" max="773" width="33.265625" style="1457" customWidth="1"/>
    <col min="774" max="774" width="27.73046875" style="1457" customWidth="1"/>
    <col min="775" max="775" width="22.265625" style="1457" customWidth="1"/>
    <col min="776" max="776" width="32" style="1457" customWidth="1"/>
    <col min="777" max="777" width="23.265625" style="1457" customWidth="1"/>
    <col min="778" max="778" width="18" style="1457" customWidth="1"/>
    <col min="779" max="779" width="16.73046875" style="1457" customWidth="1"/>
    <col min="780" max="780" width="13.265625" style="1457" customWidth="1"/>
    <col min="781" max="781" width="15.265625" style="1457" customWidth="1"/>
    <col min="782" max="782" width="11" style="1457" customWidth="1"/>
    <col min="783" max="784" width="9.73046875" style="1457" customWidth="1"/>
    <col min="785" max="785" width="10" style="1457" customWidth="1"/>
    <col min="786" max="787" width="17" style="1457" customWidth="1"/>
    <col min="788" max="1024" width="8.86328125" style="1457"/>
    <col min="1025" max="1025" width="86.73046875" style="1457" customWidth="1"/>
    <col min="1026" max="1026" width="23" style="1457" customWidth="1"/>
    <col min="1027" max="1027" width="17.59765625" style="1457" customWidth="1"/>
    <col min="1028" max="1028" width="27.265625" style="1457" customWidth="1"/>
    <col min="1029" max="1029" width="33.265625" style="1457" customWidth="1"/>
    <col min="1030" max="1030" width="27.73046875" style="1457" customWidth="1"/>
    <col min="1031" max="1031" width="22.265625" style="1457" customWidth="1"/>
    <col min="1032" max="1032" width="32" style="1457" customWidth="1"/>
    <col min="1033" max="1033" width="23.265625" style="1457" customWidth="1"/>
    <col min="1034" max="1034" width="18" style="1457" customWidth="1"/>
    <col min="1035" max="1035" width="16.73046875" style="1457" customWidth="1"/>
    <col min="1036" max="1036" width="13.265625" style="1457" customWidth="1"/>
    <col min="1037" max="1037" width="15.265625" style="1457" customWidth="1"/>
    <col min="1038" max="1038" width="11" style="1457" customWidth="1"/>
    <col min="1039" max="1040" width="9.73046875" style="1457" customWidth="1"/>
    <col min="1041" max="1041" width="10" style="1457" customWidth="1"/>
    <col min="1042" max="1043" width="17" style="1457" customWidth="1"/>
    <col min="1044" max="1280" width="8.86328125" style="1457"/>
    <col min="1281" max="1281" width="86.73046875" style="1457" customWidth="1"/>
    <col min="1282" max="1282" width="23" style="1457" customWidth="1"/>
    <col min="1283" max="1283" width="17.59765625" style="1457" customWidth="1"/>
    <col min="1284" max="1284" width="27.265625" style="1457" customWidth="1"/>
    <col min="1285" max="1285" width="33.265625" style="1457" customWidth="1"/>
    <col min="1286" max="1286" width="27.73046875" style="1457" customWidth="1"/>
    <col min="1287" max="1287" width="22.265625" style="1457" customWidth="1"/>
    <col min="1288" max="1288" width="32" style="1457" customWidth="1"/>
    <col min="1289" max="1289" width="23.265625" style="1457" customWidth="1"/>
    <col min="1290" max="1290" width="18" style="1457" customWidth="1"/>
    <col min="1291" max="1291" width="16.73046875" style="1457" customWidth="1"/>
    <col min="1292" max="1292" width="13.265625" style="1457" customWidth="1"/>
    <col min="1293" max="1293" width="15.265625" style="1457" customWidth="1"/>
    <col min="1294" max="1294" width="11" style="1457" customWidth="1"/>
    <col min="1295" max="1296" width="9.73046875" style="1457" customWidth="1"/>
    <col min="1297" max="1297" width="10" style="1457" customWidth="1"/>
    <col min="1298" max="1299" width="17" style="1457" customWidth="1"/>
    <col min="1300" max="1536" width="8.86328125" style="1457"/>
    <col min="1537" max="1537" width="86.73046875" style="1457" customWidth="1"/>
    <col min="1538" max="1538" width="23" style="1457" customWidth="1"/>
    <col min="1539" max="1539" width="17.59765625" style="1457" customWidth="1"/>
    <col min="1540" max="1540" width="27.265625" style="1457" customWidth="1"/>
    <col min="1541" max="1541" width="33.265625" style="1457" customWidth="1"/>
    <col min="1542" max="1542" width="27.73046875" style="1457" customWidth="1"/>
    <col min="1543" max="1543" width="22.265625" style="1457" customWidth="1"/>
    <col min="1544" max="1544" width="32" style="1457" customWidth="1"/>
    <col min="1545" max="1545" width="23.265625" style="1457" customWidth="1"/>
    <col min="1546" max="1546" width="18" style="1457" customWidth="1"/>
    <col min="1547" max="1547" width="16.73046875" style="1457" customWidth="1"/>
    <col min="1548" max="1548" width="13.265625" style="1457" customWidth="1"/>
    <col min="1549" max="1549" width="15.265625" style="1457" customWidth="1"/>
    <col min="1550" max="1550" width="11" style="1457" customWidth="1"/>
    <col min="1551" max="1552" width="9.73046875" style="1457" customWidth="1"/>
    <col min="1553" max="1553" width="10" style="1457" customWidth="1"/>
    <col min="1554" max="1555" width="17" style="1457" customWidth="1"/>
    <col min="1556" max="1792" width="8.86328125" style="1457"/>
    <col min="1793" max="1793" width="86.73046875" style="1457" customWidth="1"/>
    <col min="1794" max="1794" width="23" style="1457" customWidth="1"/>
    <col min="1795" max="1795" width="17.59765625" style="1457" customWidth="1"/>
    <col min="1796" max="1796" width="27.265625" style="1457" customWidth="1"/>
    <col min="1797" max="1797" width="33.265625" style="1457" customWidth="1"/>
    <col min="1798" max="1798" width="27.73046875" style="1457" customWidth="1"/>
    <col min="1799" max="1799" width="22.265625" style="1457" customWidth="1"/>
    <col min="1800" max="1800" width="32" style="1457" customWidth="1"/>
    <col min="1801" max="1801" width="23.265625" style="1457" customWidth="1"/>
    <col min="1802" max="1802" width="18" style="1457" customWidth="1"/>
    <col min="1803" max="1803" width="16.73046875" style="1457" customWidth="1"/>
    <col min="1804" max="1804" width="13.265625" style="1457" customWidth="1"/>
    <col min="1805" max="1805" width="15.265625" style="1457" customWidth="1"/>
    <col min="1806" max="1806" width="11" style="1457" customWidth="1"/>
    <col min="1807" max="1808" width="9.73046875" style="1457" customWidth="1"/>
    <col min="1809" max="1809" width="10" style="1457" customWidth="1"/>
    <col min="1810" max="1811" width="17" style="1457" customWidth="1"/>
    <col min="1812" max="2048" width="8.86328125" style="1457"/>
    <col min="2049" max="2049" width="86.73046875" style="1457" customWidth="1"/>
    <col min="2050" max="2050" width="23" style="1457" customWidth="1"/>
    <col min="2051" max="2051" width="17.59765625" style="1457" customWidth="1"/>
    <col min="2052" max="2052" width="27.265625" style="1457" customWidth="1"/>
    <col min="2053" max="2053" width="33.265625" style="1457" customWidth="1"/>
    <col min="2054" max="2054" width="27.73046875" style="1457" customWidth="1"/>
    <col min="2055" max="2055" width="22.265625" style="1457" customWidth="1"/>
    <col min="2056" max="2056" width="32" style="1457" customWidth="1"/>
    <col min="2057" max="2057" width="23.265625" style="1457" customWidth="1"/>
    <col min="2058" max="2058" width="18" style="1457" customWidth="1"/>
    <col min="2059" max="2059" width="16.73046875" style="1457" customWidth="1"/>
    <col min="2060" max="2060" width="13.265625" style="1457" customWidth="1"/>
    <col min="2061" max="2061" width="15.265625" style="1457" customWidth="1"/>
    <col min="2062" max="2062" width="11" style="1457" customWidth="1"/>
    <col min="2063" max="2064" width="9.73046875" style="1457" customWidth="1"/>
    <col min="2065" max="2065" width="10" style="1457" customWidth="1"/>
    <col min="2066" max="2067" width="17" style="1457" customWidth="1"/>
    <col min="2068" max="2304" width="8.86328125" style="1457"/>
    <col min="2305" max="2305" width="86.73046875" style="1457" customWidth="1"/>
    <col min="2306" max="2306" width="23" style="1457" customWidth="1"/>
    <col min="2307" max="2307" width="17.59765625" style="1457" customWidth="1"/>
    <col min="2308" max="2308" width="27.265625" style="1457" customWidth="1"/>
    <col min="2309" max="2309" width="33.265625" style="1457" customWidth="1"/>
    <col min="2310" max="2310" width="27.73046875" style="1457" customWidth="1"/>
    <col min="2311" max="2311" width="22.265625" style="1457" customWidth="1"/>
    <col min="2312" max="2312" width="32" style="1457" customWidth="1"/>
    <col min="2313" max="2313" width="23.265625" style="1457" customWidth="1"/>
    <col min="2314" max="2314" width="18" style="1457" customWidth="1"/>
    <col min="2315" max="2315" width="16.73046875" style="1457" customWidth="1"/>
    <col min="2316" max="2316" width="13.265625" style="1457" customWidth="1"/>
    <col min="2317" max="2317" width="15.265625" style="1457" customWidth="1"/>
    <col min="2318" max="2318" width="11" style="1457" customWidth="1"/>
    <col min="2319" max="2320" width="9.73046875" style="1457" customWidth="1"/>
    <col min="2321" max="2321" width="10" style="1457" customWidth="1"/>
    <col min="2322" max="2323" width="17" style="1457" customWidth="1"/>
    <col min="2324" max="2560" width="8.86328125" style="1457"/>
    <col min="2561" max="2561" width="86.73046875" style="1457" customWidth="1"/>
    <col min="2562" max="2562" width="23" style="1457" customWidth="1"/>
    <col min="2563" max="2563" width="17.59765625" style="1457" customWidth="1"/>
    <col min="2564" max="2564" width="27.265625" style="1457" customWidth="1"/>
    <col min="2565" max="2565" width="33.265625" style="1457" customWidth="1"/>
    <col min="2566" max="2566" width="27.73046875" style="1457" customWidth="1"/>
    <col min="2567" max="2567" width="22.265625" style="1457" customWidth="1"/>
    <col min="2568" max="2568" width="32" style="1457" customWidth="1"/>
    <col min="2569" max="2569" width="23.265625" style="1457" customWidth="1"/>
    <col min="2570" max="2570" width="18" style="1457" customWidth="1"/>
    <col min="2571" max="2571" width="16.73046875" style="1457" customWidth="1"/>
    <col min="2572" max="2572" width="13.265625" style="1457" customWidth="1"/>
    <col min="2573" max="2573" width="15.265625" style="1457" customWidth="1"/>
    <col min="2574" max="2574" width="11" style="1457" customWidth="1"/>
    <col min="2575" max="2576" width="9.73046875" style="1457" customWidth="1"/>
    <col min="2577" max="2577" width="10" style="1457" customWidth="1"/>
    <col min="2578" max="2579" width="17" style="1457" customWidth="1"/>
    <col min="2580" max="2816" width="8.86328125" style="1457"/>
    <col min="2817" max="2817" width="86.73046875" style="1457" customWidth="1"/>
    <col min="2818" max="2818" width="23" style="1457" customWidth="1"/>
    <col min="2819" max="2819" width="17.59765625" style="1457" customWidth="1"/>
    <col min="2820" max="2820" width="27.265625" style="1457" customWidth="1"/>
    <col min="2821" max="2821" width="33.265625" style="1457" customWidth="1"/>
    <col min="2822" max="2822" width="27.73046875" style="1457" customWidth="1"/>
    <col min="2823" max="2823" width="22.265625" style="1457" customWidth="1"/>
    <col min="2824" max="2824" width="32" style="1457" customWidth="1"/>
    <col min="2825" max="2825" width="23.265625" style="1457" customWidth="1"/>
    <col min="2826" max="2826" width="18" style="1457" customWidth="1"/>
    <col min="2827" max="2827" width="16.73046875" style="1457" customWidth="1"/>
    <col min="2828" max="2828" width="13.265625" style="1457" customWidth="1"/>
    <col min="2829" max="2829" width="15.265625" style="1457" customWidth="1"/>
    <col min="2830" max="2830" width="11" style="1457" customWidth="1"/>
    <col min="2831" max="2832" width="9.73046875" style="1457" customWidth="1"/>
    <col min="2833" max="2833" width="10" style="1457" customWidth="1"/>
    <col min="2834" max="2835" width="17" style="1457" customWidth="1"/>
    <col min="2836" max="3072" width="8.86328125" style="1457"/>
    <col min="3073" max="3073" width="86.73046875" style="1457" customWidth="1"/>
    <col min="3074" max="3074" width="23" style="1457" customWidth="1"/>
    <col min="3075" max="3075" width="17.59765625" style="1457" customWidth="1"/>
    <col min="3076" max="3076" width="27.265625" style="1457" customWidth="1"/>
    <col min="3077" max="3077" width="33.265625" style="1457" customWidth="1"/>
    <col min="3078" max="3078" width="27.73046875" style="1457" customWidth="1"/>
    <col min="3079" max="3079" width="22.265625" style="1457" customWidth="1"/>
    <col min="3080" max="3080" width="32" style="1457" customWidth="1"/>
    <col min="3081" max="3081" width="23.265625" style="1457" customWidth="1"/>
    <col min="3082" max="3082" width="18" style="1457" customWidth="1"/>
    <col min="3083" max="3083" width="16.73046875" style="1457" customWidth="1"/>
    <col min="3084" max="3084" width="13.265625" style="1457" customWidth="1"/>
    <col min="3085" max="3085" width="15.265625" style="1457" customWidth="1"/>
    <col min="3086" max="3086" width="11" style="1457" customWidth="1"/>
    <col min="3087" max="3088" width="9.73046875" style="1457" customWidth="1"/>
    <col min="3089" max="3089" width="10" style="1457" customWidth="1"/>
    <col min="3090" max="3091" width="17" style="1457" customWidth="1"/>
    <col min="3092" max="3328" width="8.86328125" style="1457"/>
    <col min="3329" max="3329" width="86.73046875" style="1457" customWidth="1"/>
    <col min="3330" max="3330" width="23" style="1457" customWidth="1"/>
    <col min="3331" max="3331" width="17.59765625" style="1457" customWidth="1"/>
    <col min="3332" max="3332" width="27.265625" style="1457" customWidth="1"/>
    <col min="3333" max="3333" width="33.265625" style="1457" customWidth="1"/>
    <col min="3334" max="3334" width="27.73046875" style="1457" customWidth="1"/>
    <col min="3335" max="3335" width="22.265625" style="1457" customWidth="1"/>
    <col min="3336" max="3336" width="32" style="1457" customWidth="1"/>
    <col min="3337" max="3337" width="23.265625" style="1457" customWidth="1"/>
    <col min="3338" max="3338" width="18" style="1457" customWidth="1"/>
    <col min="3339" max="3339" width="16.73046875" style="1457" customWidth="1"/>
    <col min="3340" max="3340" width="13.265625" style="1457" customWidth="1"/>
    <col min="3341" max="3341" width="15.265625" style="1457" customWidth="1"/>
    <col min="3342" max="3342" width="11" style="1457" customWidth="1"/>
    <col min="3343" max="3344" width="9.73046875" style="1457" customWidth="1"/>
    <col min="3345" max="3345" width="10" style="1457" customWidth="1"/>
    <col min="3346" max="3347" width="17" style="1457" customWidth="1"/>
    <col min="3348" max="3584" width="8.86328125" style="1457"/>
    <col min="3585" max="3585" width="86.73046875" style="1457" customWidth="1"/>
    <col min="3586" max="3586" width="23" style="1457" customWidth="1"/>
    <col min="3587" max="3587" width="17.59765625" style="1457" customWidth="1"/>
    <col min="3588" max="3588" width="27.265625" style="1457" customWidth="1"/>
    <col min="3589" max="3589" width="33.265625" style="1457" customWidth="1"/>
    <col min="3590" max="3590" width="27.73046875" style="1457" customWidth="1"/>
    <col min="3591" max="3591" width="22.265625" style="1457" customWidth="1"/>
    <col min="3592" max="3592" width="32" style="1457" customWidth="1"/>
    <col min="3593" max="3593" width="23.265625" style="1457" customWidth="1"/>
    <col min="3594" max="3594" width="18" style="1457" customWidth="1"/>
    <col min="3595" max="3595" width="16.73046875" style="1457" customWidth="1"/>
    <col min="3596" max="3596" width="13.265625" style="1457" customWidth="1"/>
    <col min="3597" max="3597" width="15.265625" style="1457" customWidth="1"/>
    <col min="3598" max="3598" width="11" style="1457" customWidth="1"/>
    <col min="3599" max="3600" width="9.73046875" style="1457" customWidth="1"/>
    <col min="3601" max="3601" width="10" style="1457" customWidth="1"/>
    <col min="3602" max="3603" width="17" style="1457" customWidth="1"/>
    <col min="3604" max="3840" width="8.86328125" style="1457"/>
    <col min="3841" max="3841" width="86.73046875" style="1457" customWidth="1"/>
    <col min="3842" max="3842" width="23" style="1457" customWidth="1"/>
    <col min="3843" max="3843" width="17.59765625" style="1457" customWidth="1"/>
    <col min="3844" max="3844" width="27.265625" style="1457" customWidth="1"/>
    <col min="3845" max="3845" width="33.265625" style="1457" customWidth="1"/>
    <col min="3846" max="3846" width="27.73046875" style="1457" customWidth="1"/>
    <col min="3847" max="3847" width="22.265625" style="1457" customWidth="1"/>
    <col min="3848" max="3848" width="32" style="1457" customWidth="1"/>
    <col min="3849" max="3849" width="23.265625" style="1457" customWidth="1"/>
    <col min="3850" max="3850" width="18" style="1457" customWidth="1"/>
    <col min="3851" max="3851" width="16.73046875" style="1457" customWidth="1"/>
    <col min="3852" max="3852" width="13.265625" style="1457" customWidth="1"/>
    <col min="3853" max="3853" width="15.265625" style="1457" customWidth="1"/>
    <col min="3854" max="3854" width="11" style="1457" customWidth="1"/>
    <col min="3855" max="3856" width="9.73046875" style="1457" customWidth="1"/>
    <col min="3857" max="3857" width="10" style="1457" customWidth="1"/>
    <col min="3858" max="3859" width="17" style="1457" customWidth="1"/>
    <col min="3860" max="4096" width="8.86328125" style="1457"/>
    <col min="4097" max="4097" width="86.73046875" style="1457" customWidth="1"/>
    <col min="4098" max="4098" width="23" style="1457" customWidth="1"/>
    <col min="4099" max="4099" width="17.59765625" style="1457" customWidth="1"/>
    <col min="4100" max="4100" width="27.265625" style="1457" customWidth="1"/>
    <col min="4101" max="4101" width="33.265625" style="1457" customWidth="1"/>
    <col min="4102" max="4102" width="27.73046875" style="1457" customWidth="1"/>
    <col min="4103" max="4103" width="22.265625" style="1457" customWidth="1"/>
    <col min="4104" max="4104" width="32" style="1457" customWidth="1"/>
    <col min="4105" max="4105" width="23.265625" style="1457" customWidth="1"/>
    <col min="4106" max="4106" width="18" style="1457" customWidth="1"/>
    <col min="4107" max="4107" width="16.73046875" style="1457" customWidth="1"/>
    <col min="4108" max="4108" width="13.265625" style="1457" customWidth="1"/>
    <col min="4109" max="4109" width="15.265625" style="1457" customWidth="1"/>
    <col min="4110" max="4110" width="11" style="1457" customWidth="1"/>
    <col min="4111" max="4112" width="9.73046875" style="1457" customWidth="1"/>
    <col min="4113" max="4113" width="10" style="1457" customWidth="1"/>
    <col min="4114" max="4115" width="17" style="1457" customWidth="1"/>
    <col min="4116" max="4352" width="8.86328125" style="1457"/>
    <col min="4353" max="4353" width="86.73046875" style="1457" customWidth="1"/>
    <col min="4354" max="4354" width="23" style="1457" customWidth="1"/>
    <col min="4355" max="4355" width="17.59765625" style="1457" customWidth="1"/>
    <col min="4356" max="4356" width="27.265625" style="1457" customWidth="1"/>
    <col min="4357" max="4357" width="33.265625" style="1457" customWidth="1"/>
    <col min="4358" max="4358" width="27.73046875" style="1457" customWidth="1"/>
    <col min="4359" max="4359" width="22.265625" style="1457" customWidth="1"/>
    <col min="4360" max="4360" width="32" style="1457" customWidth="1"/>
    <col min="4361" max="4361" width="23.265625" style="1457" customWidth="1"/>
    <col min="4362" max="4362" width="18" style="1457" customWidth="1"/>
    <col min="4363" max="4363" width="16.73046875" style="1457" customWidth="1"/>
    <col min="4364" max="4364" width="13.265625" style="1457" customWidth="1"/>
    <col min="4365" max="4365" width="15.265625" style="1457" customWidth="1"/>
    <col min="4366" max="4366" width="11" style="1457" customWidth="1"/>
    <col min="4367" max="4368" width="9.73046875" style="1457" customWidth="1"/>
    <col min="4369" max="4369" width="10" style="1457" customWidth="1"/>
    <col min="4370" max="4371" width="17" style="1457" customWidth="1"/>
    <col min="4372" max="4608" width="8.86328125" style="1457"/>
    <col min="4609" max="4609" width="86.73046875" style="1457" customWidth="1"/>
    <col min="4610" max="4610" width="23" style="1457" customWidth="1"/>
    <col min="4611" max="4611" width="17.59765625" style="1457" customWidth="1"/>
    <col min="4612" max="4612" width="27.265625" style="1457" customWidth="1"/>
    <col min="4613" max="4613" width="33.265625" style="1457" customWidth="1"/>
    <col min="4614" max="4614" width="27.73046875" style="1457" customWidth="1"/>
    <col min="4615" max="4615" width="22.265625" style="1457" customWidth="1"/>
    <col min="4616" max="4616" width="32" style="1457" customWidth="1"/>
    <col min="4617" max="4617" width="23.265625" style="1457" customWidth="1"/>
    <col min="4618" max="4618" width="18" style="1457" customWidth="1"/>
    <col min="4619" max="4619" width="16.73046875" style="1457" customWidth="1"/>
    <col min="4620" max="4620" width="13.265625" style="1457" customWidth="1"/>
    <col min="4621" max="4621" width="15.265625" style="1457" customWidth="1"/>
    <col min="4622" max="4622" width="11" style="1457" customWidth="1"/>
    <col min="4623" max="4624" width="9.73046875" style="1457" customWidth="1"/>
    <col min="4625" max="4625" width="10" style="1457" customWidth="1"/>
    <col min="4626" max="4627" width="17" style="1457" customWidth="1"/>
    <col min="4628" max="4864" width="8.86328125" style="1457"/>
    <col min="4865" max="4865" width="86.73046875" style="1457" customWidth="1"/>
    <col min="4866" max="4866" width="23" style="1457" customWidth="1"/>
    <col min="4867" max="4867" width="17.59765625" style="1457" customWidth="1"/>
    <col min="4868" max="4868" width="27.265625" style="1457" customWidth="1"/>
    <col min="4869" max="4869" width="33.265625" style="1457" customWidth="1"/>
    <col min="4870" max="4870" width="27.73046875" style="1457" customWidth="1"/>
    <col min="4871" max="4871" width="22.265625" style="1457" customWidth="1"/>
    <col min="4872" max="4872" width="32" style="1457" customWidth="1"/>
    <col min="4873" max="4873" width="23.265625" style="1457" customWidth="1"/>
    <col min="4874" max="4874" width="18" style="1457" customWidth="1"/>
    <col min="4875" max="4875" width="16.73046875" style="1457" customWidth="1"/>
    <col min="4876" max="4876" width="13.265625" style="1457" customWidth="1"/>
    <col min="4877" max="4877" width="15.265625" style="1457" customWidth="1"/>
    <col min="4878" max="4878" width="11" style="1457" customWidth="1"/>
    <col min="4879" max="4880" width="9.73046875" style="1457" customWidth="1"/>
    <col min="4881" max="4881" width="10" style="1457" customWidth="1"/>
    <col min="4882" max="4883" width="17" style="1457" customWidth="1"/>
    <col min="4884" max="5120" width="8.86328125" style="1457"/>
    <col min="5121" max="5121" width="86.73046875" style="1457" customWidth="1"/>
    <col min="5122" max="5122" width="23" style="1457" customWidth="1"/>
    <col min="5123" max="5123" width="17.59765625" style="1457" customWidth="1"/>
    <col min="5124" max="5124" width="27.265625" style="1457" customWidth="1"/>
    <col min="5125" max="5125" width="33.265625" style="1457" customWidth="1"/>
    <col min="5126" max="5126" width="27.73046875" style="1457" customWidth="1"/>
    <col min="5127" max="5127" width="22.265625" style="1457" customWidth="1"/>
    <col min="5128" max="5128" width="32" style="1457" customWidth="1"/>
    <col min="5129" max="5129" width="23.265625" style="1457" customWidth="1"/>
    <col min="5130" max="5130" width="18" style="1457" customWidth="1"/>
    <col min="5131" max="5131" width="16.73046875" style="1457" customWidth="1"/>
    <col min="5132" max="5132" width="13.265625" style="1457" customWidth="1"/>
    <col min="5133" max="5133" width="15.265625" style="1457" customWidth="1"/>
    <col min="5134" max="5134" width="11" style="1457" customWidth="1"/>
    <col min="5135" max="5136" width="9.73046875" style="1457" customWidth="1"/>
    <col min="5137" max="5137" width="10" style="1457" customWidth="1"/>
    <col min="5138" max="5139" width="17" style="1457" customWidth="1"/>
    <col min="5140" max="5376" width="8.86328125" style="1457"/>
    <col min="5377" max="5377" width="86.73046875" style="1457" customWidth="1"/>
    <col min="5378" max="5378" width="23" style="1457" customWidth="1"/>
    <col min="5379" max="5379" width="17.59765625" style="1457" customWidth="1"/>
    <col min="5380" max="5380" width="27.265625" style="1457" customWidth="1"/>
    <col min="5381" max="5381" width="33.265625" style="1457" customWidth="1"/>
    <col min="5382" max="5382" width="27.73046875" style="1457" customWidth="1"/>
    <col min="5383" max="5383" width="22.265625" style="1457" customWidth="1"/>
    <col min="5384" max="5384" width="32" style="1457" customWidth="1"/>
    <col min="5385" max="5385" width="23.265625" style="1457" customWidth="1"/>
    <col min="5386" max="5386" width="18" style="1457" customWidth="1"/>
    <col min="5387" max="5387" width="16.73046875" style="1457" customWidth="1"/>
    <col min="5388" max="5388" width="13.265625" style="1457" customWidth="1"/>
    <col min="5389" max="5389" width="15.265625" style="1457" customWidth="1"/>
    <col min="5390" max="5390" width="11" style="1457" customWidth="1"/>
    <col min="5391" max="5392" width="9.73046875" style="1457" customWidth="1"/>
    <col min="5393" max="5393" width="10" style="1457" customWidth="1"/>
    <col min="5394" max="5395" width="17" style="1457" customWidth="1"/>
    <col min="5396" max="5632" width="8.86328125" style="1457"/>
    <col min="5633" max="5633" width="86.73046875" style="1457" customWidth="1"/>
    <col min="5634" max="5634" width="23" style="1457" customWidth="1"/>
    <col min="5635" max="5635" width="17.59765625" style="1457" customWidth="1"/>
    <col min="5636" max="5636" width="27.265625" style="1457" customWidth="1"/>
    <col min="5637" max="5637" width="33.265625" style="1457" customWidth="1"/>
    <col min="5638" max="5638" width="27.73046875" style="1457" customWidth="1"/>
    <col min="5639" max="5639" width="22.265625" style="1457" customWidth="1"/>
    <col min="5640" max="5640" width="32" style="1457" customWidth="1"/>
    <col min="5641" max="5641" width="23.265625" style="1457" customWidth="1"/>
    <col min="5642" max="5642" width="18" style="1457" customWidth="1"/>
    <col min="5643" max="5643" width="16.73046875" style="1457" customWidth="1"/>
    <col min="5644" max="5644" width="13.265625" style="1457" customWidth="1"/>
    <col min="5645" max="5645" width="15.265625" style="1457" customWidth="1"/>
    <col min="5646" max="5646" width="11" style="1457" customWidth="1"/>
    <col min="5647" max="5648" width="9.73046875" style="1457" customWidth="1"/>
    <col min="5649" max="5649" width="10" style="1457" customWidth="1"/>
    <col min="5650" max="5651" width="17" style="1457" customWidth="1"/>
    <col min="5652" max="5888" width="8.86328125" style="1457"/>
    <col min="5889" max="5889" width="86.73046875" style="1457" customWidth="1"/>
    <col min="5890" max="5890" width="23" style="1457" customWidth="1"/>
    <col min="5891" max="5891" width="17.59765625" style="1457" customWidth="1"/>
    <col min="5892" max="5892" width="27.265625" style="1457" customWidth="1"/>
    <col min="5893" max="5893" width="33.265625" style="1457" customWidth="1"/>
    <col min="5894" max="5894" width="27.73046875" style="1457" customWidth="1"/>
    <col min="5895" max="5895" width="22.265625" style="1457" customWidth="1"/>
    <col min="5896" max="5896" width="32" style="1457" customWidth="1"/>
    <col min="5897" max="5897" width="23.265625" style="1457" customWidth="1"/>
    <col min="5898" max="5898" width="18" style="1457" customWidth="1"/>
    <col min="5899" max="5899" width="16.73046875" style="1457" customWidth="1"/>
    <col min="5900" max="5900" width="13.265625" style="1457" customWidth="1"/>
    <col min="5901" max="5901" width="15.265625" style="1457" customWidth="1"/>
    <col min="5902" max="5902" width="11" style="1457" customWidth="1"/>
    <col min="5903" max="5904" width="9.73046875" style="1457" customWidth="1"/>
    <col min="5905" max="5905" width="10" style="1457" customWidth="1"/>
    <col min="5906" max="5907" width="17" style="1457" customWidth="1"/>
    <col min="5908" max="6144" width="8.86328125" style="1457"/>
    <col min="6145" max="6145" width="86.73046875" style="1457" customWidth="1"/>
    <col min="6146" max="6146" width="23" style="1457" customWidth="1"/>
    <col min="6147" max="6147" width="17.59765625" style="1457" customWidth="1"/>
    <col min="6148" max="6148" width="27.265625" style="1457" customWidth="1"/>
    <col min="6149" max="6149" width="33.265625" style="1457" customWidth="1"/>
    <col min="6150" max="6150" width="27.73046875" style="1457" customWidth="1"/>
    <col min="6151" max="6151" width="22.265625" style="1457" customWidth="1"/>
    <col min="6152" max="6152" width="32" style="1457" customWidth="1"/>
    <col min="6153" max="6153" width="23.265625" style="1457" customWidth="1"/>
    <col min="6154" max="6154" width="18" style="1457" customWidth="1"/>
    <col min="6155" max="6155" width="16.73046875" style="1457" customWidth="1"/>
    <col min="6156" max="6156" width="13.265625" style="1457" customWidth="1"/>
    <col min="6157" max="6157" width="15.265625" style="1457" customWidth="1"/>
    <col min="6158" max="6158" width="11" style="1457" customWidth="1"/>
    <col min="6159" max="6160" width="9.73046875" style="1457" customWidth="1"/>
    <col min="6161" max="6161" width="10" style="1457" customWidth="1"/>
    <col min="6162" max="6163" width="17" style="1457" customWidth="1"/>
    <col min="6164" max="6400" width="8.86328125" style="1457"/>
    <col min="6401" max="6401" width="86.73046875" style="1457" customWidth="1"/>
    <col min="6402" max="6402" width="23" style="1457" customWidth="1"/>
    <col min="6403" max="6403" width="17.59765625" style="1457" customWidth="1"/>
    <col min="6404" max="6404" width="27.265625" style="1457" customWidth="1"/>
    <col min="6405" max="6405" width="33.265625" style="1457" customWidth="1"/>
    <col min="6406" max="6406" width="27.73046875" style="1457" customWidth="1"/>
    <col min="6407" max="6407" width="22.265625" style="1457" customWidth="1"/>
    <col min="6408" max="6408" width="32" style="1457" customWidth="1"/>
    <col min="6409" max="6409" width="23.265625" style="1457" customWidth="1"/>
    <col min="6410" max="6410" width="18" style="1457" customWidth="1"/>
    <col min="6411" max="6411" width="16.73046875" style="1457" customWidth="1"/>
    <col min="6412" max="6412" width="13.265625" style="1457" customWidth="1"/>
    <col min="6413" max="6413" width="15.265625" style="1457" customWidth="1"/>
    <col min="6414" max="6414" width="11" style="1457" customWidth="1"/>
    <col min="6415" max="6416" width="9.73046875" style="1457" customWidth="1"/>
    <col min="6417" max="6417" width="10" style="1457" customWidth="1"/>
    <col min="6418" max="6419" width="17" style="1457" customWidth="1"/>
    <col min="6420" max="6656" width="8.86328125" style="1457"/>
    <col min="6657" max="6657" width="86.73046875" style="1457" customWidth="1"/>
    <col min="6658" max="6658" width="23" style="1457" customWidth="1"/>
    <col min="6659" max="6659" width="17.59765625" style="1457" customWidth="1"/>
    <col min="6660" max="6660" width="27.265625" style="1457" customWidth="1"/>
    <col min="6661" max="6661" width="33.265625" style="1457" customWidth="1"/>
    <col min="6662" max="6662" width="27.73046875" style="1457" customWidth="1"/>
    <col min="6663" max="6663" width="22.265625" style="1457" customWidth="1"/>
    <col min="6664" max="6664" width="32" style="1457" customWidth="1"/>
    <col min="6665" max="6665" width="23.265625" style="1457" customWidth="1"/>
    <col min="6666" max="6666" width="18" style="1457" customWidth="1"/>
    <col min="6667" max="6667" width="16.73046875" style="1457" customWidth="1"/>
    <col min="6668" max="6668" width="13.265625" style="1457" customWidth="1"/>
    <col min="6669" max="6669" width="15.265625" style="1457" customWidth="1"/>
    <col min="6670" max="6670" width="11" style="1457" customWidth="1"/>
    <col min="6671" max="6672" width="9.73046875" style="1457" customWidth="1"/>
    <col min="6673" max="6673" width="10" style="1457" customWidth="1"/>
    <col min="6674" max="6675" width="17" style="1457" customWidth="1"/>
    <col min="6676" max="6912" width="8.86328125" style="1457"/>
    <col min="6913" max="6913" width="86.73046875" style="1457" customWidth="1"/>
    <col min="6914" max="6914" width="23" style="1457" customWidth="1"/>
    <col min="6915" max="6915" width="17.59765625" style="1457" customWidth="1"/>
    <col min="6916" max="6916" width="27.265625" style="1457" customWidth="1"/>
    <col min="6917" max="6917" width="33.265625" style="1457" customWidth="1"/>
    <col min="6918" max="6918" width="27.73046875" style="1457" customWidth="1"/>
    <col min="6919" max="6919" width="22.265625" style="1457" customWidth="1"/>
    <col min="6920" max="6920" width="32" style="1457" customWidth="1"/>
    <col min="6921" max="6921" width="23.265625" style="1457" customWidth="1"/>
    <col min="6922" max="6922" width="18" style="1457" customWidth="1"/>
    <col min="6923" max="6923" width="16.73046875" style="1457" customWidth="1"/>
    <col min="6924" max="6924" width="13.265625" style="1457" customWidth="1"/>
    <col min="6925" max="6925" width="15.265625" style="1457" customWidth="1"/>
    <col min="6926" max="6926" width="11" style="1457" customWidth="1"/>
    <col min="6927" max="6928" width="9.73046875" style="1457" customWidth="1"/>
    <col min="6929" max="6929" width="10" style="1457" customWidth="1"/>
    <col min="6930" max="6931" width="17" style="1457" customWidth="1"/>
    <col min="6932" max="7168" width="8.86328125" style="1457"/>
    <col min="7169" max="7169" width="86.73046875" style="1457" customWidth="1"/>
    <col min="7170" max="7170" width="23" style="1457" customWidth="1"/>
    <col min="7171" max="7171" width="17.59765625" style="1457" customWidth="1"/>
    <col min="7172" max="7172" width="27.265625" style="1457" customWidth="1"/>
    <col min="7173" max="7173" width="33.265625" style="1457" customWidth="1"/>
    <col min="7174" max="7174" width="27.73046875" style="1457" customWidth="1"/>
    <col min="7175" max="7175" width="22.265625" style="1457" customWidth="1"/>
    <col min="7176" max="7176" width="32" style="1457" customWidth="1"/>
    <col min="7177" max="7177" width="23.265625" style="1457" customWidth="1"/>
    <col min="7178" max="7178" width="18" style="1457" customWidth="1"/>
    <col min="7179" max="7179" width="16.73046875" style="1457" customWidth="1"/>
    <col min="7180" max="7180" width="13.265625" style="1457" customWidth="1"/>
    <col min="7181" max="7181" width="15.265625" style="1457" customWidth="1"/>
    <col min="7182" max="7182" width="11" style="1457" customWidth="1"/>
    <col min="7183" max="7184" width="9.73046875" style="1457" customWidth="1"/>
    <col min="7185" max="7185" width="10" style="1457" customWidth="1"/>
    <col min="7186" max="7187" width="17" style="1457" customWidth="1"/>
    <col min="7188" max="7424" width="8.86328125" style="1457"/>
    <col min="7425" max="7425" width="86.73046875" style="1457" customWidth="1"/>
    <col min="7426" max="7426" width="23" style="1457" customWidth="1"/>
    <col min="7427" max="7427" width="17.59765625" style="1457" customWidth="1"/>
    <col min="7428" max="7428" width="27.265625" style="1457" customWidth="1"/>
    <col min="7429" max="7429" width="33.265625" style="1457" customWidth="1"/>
    <col min="7430" max="7430" width="27.73046875" style="1457" customWidth="1"/>
    <col min="7431" max="7431" width="22.265625" style="1457" customWidth="1"/>
    <col min="7432" max="7432" width="32" style="1457" customWidth="1"/>
    <col min="7433" max="7433" width="23.265625" style="1457" customWidth="1"/>
    <col min="7434" max="7434" width="18" style="1457" customWidth="1"/>
    <col min="7435" max="7435" width="16.73046875" style="1457" customWidth="1"/>
    <col min="7436" max="7436" width="13.265625" style="1457" customWidth="1"/>
    <col min="7437" max="7437" width="15.265625" style="1457" customWidth="1"/>
    <col min="7438" max="7438" width="11" style="1457" customWidth="1"/>
    <col min="7439" max="7440" width="9.73046875" style="1457" customWidth="1"/>
    <col min="7441" max="7441" width="10" style="1457" customWidth="1"/>
    <col min="7442" max="7443" width="17" style="1457" customWidth="1"/>
    <col min="7444" max="7680" width="8.86328125" style="1457"/>
    <col min="7681" max="7681" width="86.73046875" style="1457" customWidth="1"/>
    <col min="7682" max="7682" width="23" style="1457" customWidth="1"/>
    <col min="7683" max="7683" width="17.59765625" style="1457" customWidth="1"/>
    <col min="7684" max="7684" width="27.265625" style="1457" customWidth="1"/>
    <col min="7685" max="7685" width="33.265625" style="1457" customWidth="1"/>
    <col min="7686" max="7686" width="27.73046875" style="1457" customWidth="1"/>
    <col min="7687" max="7687" width="22.265625" style="1457" customWidth="1"/>
    <col min="7688" max="7688" width="32" style="1457" customWidth="1"/>
    <col min="7689" max="7689" width="23.265625" style="1457" customWidth="1"/>
    <col min="7690" max="7690" width="18" style="1457" customWidth="1"/>
    <col min="7691" max="7691" width="16.73046875" style="1457" customWidth="1"/>
    <col min="7692" max="7692" width="13.265625" style="1457" customWidth="1"/>
    <col min="7693" max="7693" width="15.265625" style="1457" customWidth="1"/>
    <col min="7694" max="7694" width="11" style="1457" customWidth="1"/>
    <col min="7695" max="7696" width="9.73046875" style="1457" customWidth="1"/>
    <col min="7697" max="7697" width="10" style="1457" customWidth="1"/>
    <col min="7698" max="7699" width="17" style="1457" customWidth="1"/>
    <col min="7700" max="7936" width="8.86328125" style="1457"/>
    <col min="7937" max="7937" width="86.73046875" style="1457" customWidth="1"/>
    <col min="7938" max="7938" width="23" style="1457" customWidth="1"/>
    <col min="7939" max="7939" width="17.59765625" style="1457" customWidth="1"/>
    <col min="7940" max="7940" width="27.265625" style="1457" customWidth="1"/>
    <col min="7941" max="7941" width="33.265625" style="1457" customWidth="1"/>
    <col min="7942" max="7942" width="27.73046875" style="1457" customWidth="1"/>
    <col min="7943" max="7943" width="22.265625" style="1457" customWidth="1"/>
    <col min="7944" max="7944" width="32" style="1457" customWidth="1"/>
    <col min="7945" max="7945" width="23.265625" style="1457" customWidth="1"/>
    <col min="7946" max="7946" width="18" style="1457" customWidth="1"/>
    <col min="7947" max="7947" width="16.73046875" style="1457" customWidth="1"/>
    <col min="7948" max="7948" width="13.265625" style="1457" customWidth="1"/>
    <col min="7949" max="7949" width="15.265625" style="1457" customWidth="1"/>
    <col min="7950" max="7950" width="11" style="1457" customWidth="1"/>
    <col min="7951" max="7952" width="9.73046875" style="1457" customWidth="1"/>
    <col min="7953" max="7953" width="10" style="1457" customWidth="1"/>
    <col min="7954" max="7955" width="17" style="1457" customWidth="1"/>
    <col min="7956" max="8192" width="8.86328125" style="1457"/>
    <col min="8193" max="8193" width="86.73046875" style="1457" customWidth="1"/>
    <col min="8194" max="8194" width="23" style="1457" customWidth="1"/>
    <col min="8195" max="8195" width="17.59765625" style="1457" customWidth="1"/>
    <col min="8196" max="8196" width="27.265625" style="1457" customWidth="1"/>
    <col min="8197" max="8197" width="33.265625" style="1457" customWidth="1"/>
    <col min="8198" max="8198" width="27.73046875" style="1457" customWidth="1"/>
    <col min="8199" max="8199" width="22.265625" style="1457" customWidth="1"/>
    <col min="8200" max="8200" width="32" style="1457" customWidth="1"/>
    <col min="8201" max="8201" width="23.265625" style="1457" customWidth="1"/>
    <col min="8202" max="8202" width="18" style="1457" customWidth="1"/>
    <col min="8203" max="8203" width="16.73046875" style="1457" customWidth="1"/>
    <col min="8204" max="8204" width="13.265625" style="1457" customWidth="1"/>
    <col min="8205" max="8205" width="15.265625" style="1457" customWidth="1"/>
    <col min="8206" max="8206" width="11" style="1457" customWidth="1"/>
    <col min="8207" max="8208" width="9.73046875" style="1457" customWidth="1"/>
    <col min="8209" max="8209" width="10" style="1457" customWidth="1"/>
    <col min="8210" max="8211" width="17" style="1457" customWidth="1"/>
    <col min="8212" max="8448" width="8.86328125" style="1457"/>
    <col min="8449" max="8449" width="86.73046875" style="1457" customWidth="1"/>
    <col min="8450" max="8450" width="23" style="1457" customWidth="1"/>
    <col min="8451" max="8451" width="17.59765625" style="1457" customWidth="1"/>
    <col min="8452" max="8452" width="27.265625" style="1457" customWidth="1"/>
    <col min="8453" max="8453" width="33.265625" style="1457" customWidth="1"/>
    <col min="8454" max="8454" width="27.73046875" style="1457" customWidth="1"/>
    <col min="8455" max="8455" width="22.265625" style="1457" customWidth="1"/>
    <col min="8456" max="8456" width="32" style="1457" customWidth="1"/>
    <col min="8457" max="8457" width="23.265625" style="1457" customWidth="1"/>
    <col min="8458" max="8458" width="18" style="1457" customWidth="1"/>
    <col min="8459" max="8459" width="16.73046875" style="1457" customWidth="1"/>
    <col min="8460" max="8460" width="13.265625" style="1457" customWidth="1"/>
    <col min="8461" max="8461" width="15.265625" style="1457" customWidth="1"/>
    <col min="8462" max="8462" width="11" style="1457" customWidth="1"/>
    <col min="8463" max="8464" width="9.73046875" style="1457" customWidth="1"/>
    <col min="8465" max="8465" width="10" style="1457" customWidth="1"/>
    <col min="8466" max="8467" width="17" style="1457" customWidth="1"/>
    <col min="8468" max="8704" width="8.86328125" style="1457"/>
    <col min="8705" max="8705" width="86.73046875" style="1457" customWidth="1"/>
    <col min="8706" max="8706" width="23" style="1457" customWidth="1"/>
    <col min="8707" max="8707" width="17.59765625" style="1457" customWidth="1"/>
    <col min="8708" max="8708" width="27.265625" style="1457" customWidth="1"/>
    <col min="8709" max="8709" width="33.265625" style="1457" customWidth="1"/>
    <col min="8710" max="8710" width="27.73046875" style="1457" customWidth="1"/>
    <col min="8711" max="8711" width="22.265625" style="1457" customWidth="1"/>
    <col min="8712" max="8712" width="32" style="1457" customWidth="1"/>
    <col min="8713" max="8713" width="23.265625" style="1457" customWidth="1"/>
    <col min="8714" max="8714" width="18" style="1457" customWidth="1"/>
    <col min="8715" max="8715" width="16.73046875" style="1457" customWidth="1"/>
    <col min="8716" max="8716" width="13.265625" style="1457" customWidth="1"/>
    <col min="8717" max="8717" width="15.265625" style="1457" customWidth="1"/>
    <col min="8718" max="8718" width="11" style="1457" customWidth="1"/>
    <col min="8719" max="8720" width="9.73046875" style="1457" customWidth="1"/>
    <col min="8721" max="8721" width="10" style="1457" customWidth="1"/>
    <col min="8722" max="8723" width="17" style="1457" customWidth="1"/>
    <col min="8724" max="8960" width="8.86328125" style="1457"/>
    <col min="8961" max="8961" width="86.73046875" style="1457" customWidth="1"/>
    <col min="8962" max="8962" width="23" style="1457" customWidth="1"/>
    <col min="8963" max="8963" width="17.59765625" style="1457" customWidth="1"/>
    <col min="8964" max="8964" width="27.265625" style="1457" customWidth="1"/>
    <col min="8965" max="8965" width="33.265625" style="1457" customWidth="1"/>
    <col min="8966" max="8966" width="27.73046875" style="1457" customWidth="1"/>
    <col min="8967" max="8967" width="22.265625" style="1457" customWidth="1"/>
    <col min="8968" max="8968" width="32" style="1457" customWidth="1"/>
    <col min="8969" max="8969" width="23.265625" style="1457" customWidth="1"/>
    <col min="8970" max="8970" width="18" style="1457" customWidth="1"/>
    <col min="8971" max="8971" width="16.73046875" style="1457" customWidth="1"/>
    <col min="8972" max="8972" width="13.265625" style="1457" customWidth="1"/>
    <col min="8973" max="8973" width="15.265625" style="1457" customWidth="1"/>
    <col min="8974" max="8974" width="11" style="1457" customWidth="1"/>
    <col min="8975" max="8976" width="9.73046875" style="1457" customWidth="1"/>
    <col min="8977" max="8977" width="10" style="1457" customWidth="1"/>
    <col min="8978" max="8979" width="17" style="1457" customWidth="1"/>
    <col min="8980" max="9216" width="8.86328125" style="1457"/>
    <col min="9217" max="9217" width="86.73046875" style="1457" customWidth="1"/>
    <col min="9218" max="9218" width="23" style="1457" customWidth="1"/>
    <col min="9219" max="9219" width="17.59765625" style="1457" customWidth="1"/>
    <col min="9220" max="9220" width="27.265625" style="1457" customWidth="1"/>
    <col min="9221" max="9221" width="33.265625" style="1457" customWidth="1"/>
    <col min="9222" max="9222" width="27.73046875" style="1457" customWidth="1"/>
    <col min="9223" max="9223" width="22.265625" style="1457" customWidth="1"/>
    <col min="9224" max="9224" width="32" style="1457" customWidth="1"/>
    <col min="9225" max="9225" width="23.265625" style="1457" customWidth="1"/>
    <col min="9226" max="9226" width="18" style="1457" customWidth="1"/>
    <col min="9227" max="9227" width="16.73046875" style="1457" customWidth="1"/>
    <col min="9228" max="9228" width="13.265625" style="1457" customWidth="1"/>
    <col min="9229" max="9229" width="15.265625" style="1457" customWidth="1"/>
    <col min="9230" max="9230" width="11" style="1457" customWidth="1"/>
    <col min="9231" max="9232" width="9.73046875" style="1457" customWidth="1"/>
    <col min="9233" max="9233" width="10" style="1457" customWidth="1"/>
    <col min="9234" max="9235" width="17" style="1457" customWidth="1"/>
    <col min="9236" max="9472" width="8.86328125" style="1457"/>
    <col min="9473" max="9473" width="86.73046875" style="1457" customWidth="1"/>
    <col min="9474" max="9474" width="23" style="1457" customWidth="1"/>
    <col min="9475" max="9475" width="17.59765625" style="1457" customWidth="1"/>
    <col min="9476" max="9476" width="27.265625" style="1457" customWidth="1"/>
    <col min="9477" max="9477" width="33.265625" style="1457" customWidth="1"/>
    <col min="9478" max="9478" width="27.73046875" style="1457" customWidth="1"/>
    <col min="9479" max="9479" width="22.265625" style="1457" customWidth="1"/>
    <col min="9480" max="9480" width="32" style="1457" customWidth="1"/>
    <col min="9481" max="9481" width="23.265625" style="1457" customWidth="1"/>
    <col min="9482" max="9482" width="18" style="1457" customWidth="1"/>
    <col min="9483" max="9483" width="16.73046875" style="1457" customWidth="1"/>
    <col min="9484" max="9484" width="13.265625" style="1457" customWidth="1"/>
    <col min="9485" max="9485" width="15.265625" style="1457" customWidth="1"/>
    <col min="9486" max="9486" width="11" style="1457" customWidth="1"/>
    <col min="9487" max="9488" width="9.73046875" style="1457" customWidth="1"/>
    <col min="9489" max="9489" width="10" style="1457" customWidth="1"/>
    <col min="9490" max="9491" width="17" style="1457" customWidth="1"/>
    <col min="9492" max="9728" width="8.86328125" style="1457"/>
    <col min="9729" max="9729" width="86.73046875" style="1457" customWidth="1"/>
    <col min="9730" max="9730" width="23" style="1457" customWidth="1"/>
    <col min="9731" max="9731" width="17.59765625" style="1457" customWidth="1"/>
    <col min="9732" max="9732" width="27.265625" style="1457" customWidth="1"/>
    <col min="9733" max="9733" width="33.265625" style="1457" customWidth="1"/>
    <col min="9734" max="9734" width="27.73046875" style="1457" customWidth="1"/>
    <col min="9735" max="9735" width="22.265625" style="1457" customWidth="1"/>
    <col min="9736" max="9736" width="32" style="1457" customWidth="1"/>
    <col min="9737" max="9737" width="23.265625" style="1457" customWidth="1"/>
    <col min="9738" max="9738" width="18" style="1457" customWidth="1"/>
    <col min="9739" max="9739" width="16.73046875" style="1457" customWidth="1"/>
    <col min="9740" max="9740" width="13.265625" style="1457" customWidth="1"/>
    <col min="9741" max="9741" width="15.265625" style="1457" customWidth="1"/>
    <col min="9742" max="9742" width="11" style="1457" customWidth="1"/>
    <col min="9743" max="9744" width="9.73046875" style="1457" customWidth="1"/>
    <col min="9745" max="9745" width="10" style="1457" customWidth="1"/>
    <col min="9746" max="9747" width="17" style="1457" customWidth="1"/>
    <col min="9748" max="9984" width="8.86328125" style="1457"/>
    <col min="9985" max="9985" width="86.73046875" style="1457" customWidth="1"/>
    <col min="9986" max="9986" width="23" style="1457" customWidth="1"/>
    <col min="9987" max="9987" width="17.59765625" style="1457" customWidth="1"/>
    <col min="9988" max="9988" width="27.265625" style="1457" customWidth="1"/>
    <col min="9989" max="9989" width="33.265625" style="1457" customWidth="1"/>
    <col min="9990" max="9990" width="27.73046875" style="1457" customWidth="1"/>
    <col min="9991" max="9991" width="22.265625" style="1457" customWidth="1"/>
    <col min="9992" max="9992" width="32" style="1457" customWidth="1"/>
    <col min="9993" max="9993" width="23.265625" style="1457" customWidth="1"/>
    <col min="9994" max="9994" width="18" style="1457" customWidth="1"/>
    <col min="9995" max="9995" width="16.73046875" style="1457" customWidth="1"/>
    <col min="9996" max="9996" width="13.265625" style="1457" customWidth="1"/>
    <col min="9997" max="9997" width="15.265625" style="1457" customWidth="1"/>
    <col min="9998" max="9998" width="11" style="1457" customWidth="1"/>
    <col min="9999" max="10000" width="9.73046875" style="1457" customWidth="1"/>
    <col min="10001" max="10001" width="10" style="1457" customWidth="1"/>
    <col min="10002" max="10003" width="17" style="1457" customWidth="1"/>
    <col min="10004" max="10240" width="8.86328125" style="1457"/>
    <col min="10241" max="10241" width="86.73046875" style="1457" customWidth="1"/>
    <col min="10242" max="10242" width="23" style="1457" customWidth="1"/>
    <col min="10243" max="10243" width="17.59765625" style="1457" customWidth="1"/>
    <col min="10244" max="10244" width="27.265625" style="1457" customWidth="1"/>
    <col min="10245" max="10245" width="33.265625" style="1457" customWidth="1"/>
    <col min="10246" max="10246" width="27.73046875" style="1457" customWidth="1"/>
    <col min="10247" max="10247" width="22.265625" style="1457" customWidth="1"/>
    <col min="10248" max="10248" width="32" style="1457" customWidth="1"/>
    <col min="10249" max="10249" width="23.265625" style="1457" customWidth="1"/>
    <col min="10250" max="10250" width="18" style="1457" customWidth="1"/>
    <col min="10251" max="10251" width="16.73046875" style="1457" customWidth="1"/>
    <col min="10252" max="10252" width="13.265625" style="1457" customWidth="1"/>
    <col min="10253" max="10253" width="15.265625" style="1457" customWidth="1"/>
    <col min="10254" max="10254" width="11" style="1457" customWidth="1"/>
    <col min="10255" max="10256" width="9.73046875" style="1457" customWidth="1"/>
    <col min="10257" max="10257" width="10" style="1457" customWidth="1"/>
    <col min="10258" max="10259" width="17" style="1457" customWidth="1"/>
    <col min="10260" max="10496" width="8.86328125" style="1457"/>
    <col min="10497" max="10497" width="86.73046875" style="1457" customWidth="1"/>
    <col min="10498" max="10498" width="23" style="1457" customWidth="1"/>
    <col min="10499" max="10499" width="17.59765625" style="1457" customWidth="1"/>
    <col min="10500" max="10500" width="27.265625" style="1457" customWidth="1"/>
    <col min="10501" max="10501" width="33.265625" style="1457" customWidth="1"/>
    <col min="10502" max="10502" width="27.73046875" style="1457" customWidth="1"/>
    <col min="10503" max="10503" width="22.265625" style="1457" customWidth="1"/>
    <col min="10504" max="10504" width="32" style="1457" customWidth="1"/>
    <col min="10505" max="10505" width="23.265625" style="1457" customWidth="1"/>
    <col min="10506" max="10506" width="18" style="1457" customWidth="1"/>
    <col min="10507" max="10507" width="16.73046875" style="1457" customWidth="1"/>
    <col min="10508" max="10508" width="13.265625" style="1457" customWidth="1"/>
    <col min="10509" max="10509" width="15.265625" style="1457" customWidth="1"/>
    <col min="10510" max="10510" width="11" style="1457" customWidth="1"/>
    <col min="10511" max="10512" width="9.73046875" style="1457" customWidth="1"/>
    <col min="10513" max="10513" width="10" style="1457" customWidth="1"/>
    <col min="10514" max="10515" width="17" style="1457" customWidth="1"/>
    <col min="10516" max="10752" width="8.86328125" style="1457"/>
    <col min="10753" max="10753" width="86.73046875" style="1457" customWidth="1"/>
    <col min="10754" max="10754" width="23" style="1457" customWidth="1"/>
    <col min="10755" max="10755" width="17.59765625" style="1457" customWidth="1"/>
    <col min="10756" max="10756" width="27.265625" style="1457" customWidth="1"/>
    <col min="10757" max="10757" width="33.265625" style="1457" customWidth="1"/>
    <col min="10758" max="10758" width="27.73046875" style="1457" customWidth="1"/>
    <col min="10759" max="10759" width="22.265625" style="1457" customWidth="1"/>
    <col min="10760" max="10760" width="32" style="1457" customWidth="1"/>
    <col min="10761" max="10761" width="23.265625" style="1457" customWidth="1"/>
    <col min="10762" max="10762" width="18" style="1457" customWidth="1"/>
    <col min="10763" max="10763" width="16.73046875" style="1457" customWidth="1"/>
    <col min="10764" max="10764" width="13.265625" style="1457" customWidth="1"/>
    <col min="10765" max="10765" width="15.265625" style="1457" customWidth="1"/>
    <col min="10766" max="10766" width="11" style="1457" customWidth="1"/>
    <col min="10767" max="10768" width="9.73046875" style="1457" customWidth="1"/>
    <col min="10769" max="10769" width="10" style="1457" customWidth="1"/>
    <col min="10770" max="10771" width="17" style="1457" customWidth="1"/>
    <col min="10772" max="11008" width="8.86328125" style="1457"/>
    <col min="11009" max="11009" width="86.73046875" style="1457" customWidth="1"/>
    <col min="11010" max="11010" width="23" style="1457" customWidth="1"/>
    <col min="11011" max="11011" width="17.59765625" style="1457" customWidth="1"/>
    <col min="11012" max="11012" width="27.265625" style="1457" customWidth="1"/>
    <col min="11013" max="11013" width="33.265625" style="1457" customWidth="1"/>
    <col min="11014" max="11014" width="27.73046875" style="1457" customWidth="1"/>
    <col min="11015" max="11015" width="22.265625" style="1457" customWidth="1"/>
    <col min="11016" max="11016" width="32" style="1457" customWidth="1"/>
    <col min="11017" max="11017" width="23.265625" style="1457" customWidth="1"/>
    <col min="11018" max="11018" width="18" style="1457" customWidth="1"/>
    <col min="11019" max="11019" width="16.73046875" style="1457" customWidth="1"/>
    <col min="11020" max="11020" width="13.265625" style="1457" customWidth="1"/>
    <col min="11021" max="11021" width="15.265625" style="1457" customWidth="1"/>
    <col min="11022" max="11022" width="11" style="1457" customWidth="1"/>
    <col min="11023" max="11024" width="9.73046875" style="1457" customWidth="1"/>
    <col min="11025" max="11025" width="10" style="1457" customWidth="1"/>
    <col min="11026" max="11027" width="17" style="1457" customWidth="1"/>
    <col min="11028" max="11264" width="8.86328125" style="1457"/>
    <col min="11265" max="11265" width="86.73046875" style="1457" customWidth="1"/>
    <col min="11266" max="11266" width="23" style="1457" customWidth="1"/>
    <col min="11267" max="11267" width="17.59765625" style="1457" customWidth="1"/>
    <col min="11268" max="11268" width="27.265625" style="1457" customWidth="1"/>
    <col min="11269" max="11269" width="33.265625" style="1457" customWidth="1"/>
    <col min="11270" max="11270" width="27.73046875" style="1457" customWidth="1"/>
    <col min="11271" max="11271" width="22.265625" style="1457" customWidth="1"/>
    <col min="11272" max="11272" width="32" style="1457" customWidth="1"/>
    <col min="11273" max="11273" width="23.265625" style="1457" customWidth="1"/>
    <col min="11274" max="11274" width="18" style="1457" customWidth="1"/>
    <col min="11275" max="11275" width="16.73046875" style="1457" customWidth="1"/>
    <col min="11276" max="11276" width="13.265625" style="1457" customWidth="1"/>
    <col min="11277" max="11277" width="15.265625" style="1457" customWidth="1"/>
    <col min="11278" max="11278" width="11" style="1457" customWidth="1"/>
    <col min="11279" max="11280" width="9.73046875" style="1457" customWidth="1"/>
    <col min="11281" max="11281" width="10" style="1457" customWidth="1"/>
    <col min="11282" max="11283" width="17" style="1457" customWidth="1"/>
    <col min="11284" max="11520" width="8.86328125" style="1457"/>
    <col min="11521" max="11521" width="86.73046875" style="1457" customWidth="1"/>
    <col min="11522" max="11522" width="23" style="1457" customWidth="1"/>
    <col min="11523" max="11523" width="17.59765625" style="1457" customWidth="1"/>
    <col min="11524" max="11524" width="27.265625" style="1457" customWidth="1"/>
    <col min="11525" max="11525" width="33.265625" style="1457" customWidth="1"/>
    <col min="11526" max="11526" width="27.73046875" style="1457" customWidth="1"/>
    <col min="11527" max="11527" width="22.265625" style="1457" customWidth="1"/>
    <col min="11528" max="11528" width="32" style="1457" customWidth="1"/>
    <col min="11529" max="11529" width="23.265625" style="1457" customWidth="1"/>
    <col min="11530" max="11530" width="18" style="1457" customWidth="1"/>
    <col min="11531" max="11531" width="16.73046875" style="1457" customWidth="1"/>
    <col min="11532" max="11532" width="13.265625" style="1457" customWidth="1"/>
    <col min="11533" max="11533" width="15.265625" style="1457" customWidth="1"/>
    <col min="11534" max="11534" width="11" style="1457" customWidth="1"/>
    <col min="11535" max="11536" width="9.73046875" style="1457" customWidth="1"/>
    <col min="11537" max="11537" width="10" style="1457" customWidth="1"/>
    <col min="11538" max="11539" width="17" style="1457" customWidth="1"/>
    <col min="11540" max="11776" width="8.86328125" style="1457"/>
    <col min="11777" max="11777" width="86.73046875" style="1457" customWidth="1"/>
    <col min="11778" max="11778" width="23" style="1457" customWidth="1"/>
    <col min="11779" max="11779" width="17.59765625" style="1457" customWidth="1"/>
    <col min="11780" max="11780" width="27.265625" style="1457" customWidth="1"/>
    <col min="11781" max="11781" width="33.265625" style="1457" customWidth="1"/>
    <col min="11782" max="11782" width="27.73046875" style="1457" customWidth="1"/>
    <col min="11783" max="11783" width="22.265625" style="1457" customWidth="1"/>
    <col min="11784" max="11784" width="32" style="1457" customWidth="1"/>
    <col min="11785" max="11785" width="23.265625" style="1457" customWidth="1"/>
    <col min="11786" max="11786" width="18" style="1457" customWidth="1"/>
    <col min="11787" max="11787" width="16.73046875" style="1457" customWidth="1"/>
    <col min="11788" max="11788" width="13.265625" style="1457" customWidth="1"/>
    <col min="11789" max="11789" width="15.265625" style="1457" customWidth="1"/>
    <col min="11790" max="11790" width="11" style="1457" customWidth="1"/>
    <col min="11791" max="11792" width="9.73046875" style="1457" customWidth="1"/>
    <col min="11793" max="11793" width="10" style="1457" customWidth="1"/>
    <col min="11794" max="11795" width="17" style="1457" customWidth="1"/>
    <col min="11796" max="12032" width="8.86328125" style="1457"/>
    <col min="12033" max="12033" width="86.73046875" style="1457" customWidth="1"/>
    <col min="12034" max="12034" width="23" style="1457" customWidth="1"/>
    <col min="12035" max="12035" width="17.59765625" style="1457" customWidth="1"/>
    <col min="12036" max="12036" width="27.265625" style="1457" customWidth="1"/>
    <col min="12037" max="12037" width="33.265625" style="1457" customWidth="1"/>
    <col min="12038" max="12038" width="27.73046875" style="1457" customWidth="1"/>
    <col min="12039" max="12039" width="22.265625" style="1457" customWidth="1"/>
    <col min="12040" max="12040" width="32" style="1457" customWidth="1"/>
    <col min="12041" max="12041" width="23.265625" style="1457" customWidth="1"/>
    <col min="12042" max="12042" width="18" style="1457" customWidth="1"/>
    <col min="12043" max="12043" width="16.73046875" style="1457" customWidth="1"/>
    <col min="12044" max="12044" width="13.265625" style="1457" customWidth="1"/>
    <col min="12045" max="12045" width="15.265625" style="1457" customWidth="1"/>
    <col min="12046" max="12046" width="11" style="1457" customWidth="1"/>
    <col min="12047" max="12048" width="9.73046875" style="1457" customWidth="1"/>
    <col min="12049" max="12049" width="10" style="1457" customWidth="1"/>
    <col min="12050" max="12051" width="17" style="1457" customWidth="1"/>
    <col min="12052" max="12288" width="8.86328125" style="1457"/>
    <col min="12289" max="12289" width="86.73046875" style="1457" customWidth="1"/>
    <col min="12290" max="12290" width="23" style="1457" customWidth="1"/>
    <col min="12291" max="12291" width="17.59765625" style="1457" customWidth="1"/>
    <col min="12292" max="12292" width="27.265625" style="1457" customWidth="1"/>
    <col min="12293" max="12293" width="33.265625" style="1457" customWidth="1"/>
    <col min="12294" max="12294" width="27.73046875" style="1457" customWidth="1"/>
    <col min="12295" max="12295" width="22.265625" style="1457" customWidth="1"/>
    <col min="12296" max="12296" width="32" style="1457" customWidth="1"/>
    <col min="12297" max="12297" width="23.265625" style="1457" customWidth="1"/>
    <col min="12298" max="12298" width="18" style="1457" customWidth="1"/>
    <col min="12299" max="12299" width="16.73046875" style="1457" customWidth="1"/>
    <col min="12300" max="12300" width="13.265625" style="1457" customWidth="1"/>
    <col min="12301" max="12301" width="15.265625" style="1457" customWidth="1"/>
    <col min="12302" max="12302" width="11" style="1457" customWidth="1"/>
    <col min="12303" max="12304" width="9.73046875" style="1457" customWidth="1"/>
    <col min="12305" max="12305" width="10" style="1457" customWidth="1"/>
    <col min="12306" max="12307" width="17" style="1457" customWidth="1"/>
    <col min="12308" max="12544" width="8.86328125" style="1457"/>
    <col min="12545" max="12545" width="86.73046875" style="1457" customWidth="1"/>
    <col min="12546" max="12546" width="23" style="1457" customWidth="1"/>
    <col min="12547" max="12547" width="17.59765625" style="1457" customWidth="1"/>
    <col min="12548" max="12548" width="27.265625" style="1457" customWidth="1"/>
    <col min="12549" max="12549" width="33.265625" style="1457" customWidth="1"/>
    <col min="12550" max="12550" width="27.73046875" style="1457" customWidth="1"/>
    <col min="12551" max="12551" width="22.265625" style="1457" customWidth="1"/>
    <col min="12552" max="12552" width="32" style="1457" customWidth="1"/>
    <col min="12553" max="12553" width="23.265625" style="1457" customWidth="1"/>
    <col min="12554" max="12554" width="18" style="1457" customWidth="1"/>
    <col min="12555" max="12555" width="16.73046875" style="1457" customWidth="1"/>
    <col min="12556" max="12556" width="13.265625" style="1457" customWidth="1"/>
    <col min="12557" max="12557" width="15.265625" style="1457" customWidth="1"/>
    <col min="12558" max="12558" width="11" style="1457" customWidth="1"/>
    <col min="12559" max="12560" width="9.73046875" style="1457" customWidth="1"/>
    <col min="12561" max="12561" width="10" style="1457" customWidth="1"/>
    <col min="12562" max="12563" width="17" style="1457" customWidth="1"/>
    <col min="12564" max="12800" width="8.86328125" style="1457"/>
    <col min="12801" max="12801" width="86.73046875" style="1457" customWidth="1"/>
    <col min="12802" max="12802" width="23" style="1457" customWidth="1"/>
    <col min="12803" max="12803" width="17.59765625" style="1457" customWidth="1"/>
    <col min="12804" max="12804" width="27.265625" style="1457" customWidth="1"/>
    <col min="12805" max="12805" width="33.265625" style="1457" customWidth="1"/>
    <col min="12806" max="12806" width="27.73046875" style="1457" customWidth="1"/>
    <col min="12807" max="12807" width="22.265625" style="1457" customWidth="1"/>
    <col min="12808" max="12808" width="32" style="1457" customWidth="1"/>
    <col min="12809" max="12809" width="23.265625" style="1457" customWidth="1"/>
    <col min="12810" max="12810" width="18" style="1457" customWidth="1"/>
    <col min="12811" max="12811" width="16.73046875" style="1457" customWidth="1"/>
    <col min="12812" max="12812" width="13.265625" style="1457" customWidth="1"/>
    <col min="12813" max="12813" width="15.265625" style="1457" customWidth="1"/>
    <col min="12814" max="12814" width="11" style="1457" customWidth="1"/>
    <col min="12815" max="12816" width="9.73046875" style="1457" customWidth="1"/>
    <col min="12817" max="12817" width="10" style="1457" customWidth="1"/>
    <col min="12818" max="12819" width="17" style="1457" customWidth="1"/>
    <col min="12820" max="13056" width="8.86328125" style="1457"/>
    <col min="13057" max="13057" width="86.73046875" style="1457" customWidth="1"/>
    <col min="13058" max="13058" width="23" style="1457" customWidth="1"/>
    <col min="13059" max="13059" width="17.59765625" style="1457" customWidth="1"/>
    <col min="13060" max="13060" width="27.265625" style="1457" customWidth="1"/>
    <col min="13061" max="13061" width="33.265625" style="1457" customWidth="1"/>
    <col min="13062" max="13062" width="27.73046875" style="1457" customWidth="1"/>
    <col min="13063" max="13063" width="22.265625" style="1457" customWidth="1"/>
    <col min="13064" max="13064" width="32" style="1457" customWidth="1"/>
    <col min="13065" max="13065" width="23.265625" style="1457" customWidth="1"/>
    <col min="13066" max="13066" width="18" style="1457" customWidth="1"/>
    <col min="13067" max="13067" width="16.73046875" style="1457" customWidth="1"/>
    <col min="13068" max="13068" width="13.265625" style="1457" customWidth="1"/>
    <col min="13069" max="13069" width="15.265625" style="1457" customWidth="1"/>
    <col min="13070" max="13070" width="11" style="1457" customWidth="1"/>
    <col min="13071" max="13072" width="9.73046875" style="1457" customWidth="1"/>
    <col min="13073" max="13073" width="10" style="1457" customWidth="1"/>
    <col min="13074" max="13075" width="17" style="1457" customWidth="1"/>
    <col min="13076" max="13312" width="8.86328125" style="1457"/>
    <col min="13313" max="13313" width="86.73046875" style="1457" customWidth="1"/>
    <col min="13314" max="13314" width="23" style="1457" customWidth="1"/>
    <col min="13315" max="13315" width="17.59765625" style="1457" customWidth="1"/>
    <col min="13316" max="13316" width="27.265625" style="1457" customWidth="1"/>
    <col min="13317" max="13317" width="33.265625" style="1457" customWidth="1"/>
    <col min="13318" max="13318" width="27.73046875" style="1457" customWidth="1"/>
    <col min="13319" max="13319" width="22.265625" style="1457" customWidth="1"/>
    <col min="13320" max="13320" width="32" style="1457" customWidth="1"/>
    <col min="13321" max="13321" width="23.265625" style="1457" customWidth="1"/>
    <col min="13322" max="13322" width="18" style="1457" customWidth="1"/>
    <col min="13323" max="13323" width="16.73046875" style="1457" customWidth="1"/>
    <col min="13324" max="13324" width="13.265625" style="1457" customWidth="1"/>
    <col min="13325" max="13325" width="15.265625" style="1457" customWidth="1"/>
    <col min="13326" max="13326" width="11" style="1457" customWidth="1"/>
    <col min="13327" max="13328" width="9.73046875" style="1457" customWidth="1"/>
    <col min="13329" max="13329" width="10" style="1457" customWidth="1"/>
    <col min="13330" max="13331" width="17" style="1457" customWidth="1"/>
    <col min="13332" max="13568" width="8.86328125" style="1457"/>
    <col min="13569" max="13569" width="86.73046875" style="1457" customWidth="1"/>
    <col min="13570" max="13570" width="23" style="1457" customWidth="1"/>
    <col min="13571" max="13571" width="17.59765625" style="1457" customWidth="1"/>
    <col min="13572" max="13572" width="27.265625" style="1457" customWidth="1"/>
    <col min="13573" max="13573" width="33.265625" style="1457" customWidth="1"/>
    <col min="13574" max="13574" width="27.73046875" style="1457" customWidth="1"/>
    <col min="13575" max="13575" width="22.265625" style="1457" customWidth="1"/>
    <col min="13576" max="13576" width="32" style="1457" customWidth="1"/>
    <col min="13577" max="13577" width="23.265625" style="1457" customWidth="1"/>
    <col min="13578" max="13578" width="18" style="1457" customWidth="1"/>
    <col min="13579" max="13579" width="16.73046875" style="1457" customWidth="1"/>
    <col min="13580" max="13580" width="13.265625" style="1457" customWidth="1"/>
    <col min="13581" max="13581" width="15.265625" style="1457" customWidth="1"/>
    <col min="13582" max="13582" width="11" style="1457" customWidth="1"/>
    <col min="13583" max="13584" width="9.73046875" style="1457" customWidth="1"/>
    <col min="13585" max="13585" width="10" style="1457" customWidth="1"/>
    <col min="13586" max="13587" width="17" style="1457" customWidth="1"/>
    <col min="13588" max="13824" width="8.86328125" style="1457"/>
    <col min="13825" max="13825" width="86.73046875" style="1457" customWidth="1"/>
    <col min="13826" max="13826" width="23" style="1457" customWidth="1"/>
    <col min="13827" max="13827" width="17.59765625" style="1457" customWidth="1"/>
    <col min="13828" max="13828" width="27.265625" style="1457" customWidth="1"/>
    <col min="13829" max="13829" width="33.265625" style="1457" customWidth="1"/>
    <col min="13830" max="13830" width="27.73046875" style="1457" customWidth="1"/>
    <col min="13831" max="13831" width="22.265625" style="1457" customWidth="1"/>
    <col min="13832" max="13832" width="32" style="1457" customWidth="1"/>
    <col min="13833" max="13833" width="23.265625" style="1457" customWidth="1"/>
    <col min="13834" max="13834" width="18" style="1457" customWidth="1"/>
    <col min="13835" max="13835" width="16.73046875" style="1457" customWidth="1"/>
    <col min="13836" max="13836" width="13.265625" style="1457" customWidth="1"/>
    <col min="13837" max="13837" width="15.265625" style="1457" customWidth="1"/>
    <col min="13838" max="13838" width="11" style="1457" customWidth="1"/>
    <col min="13839" max="13840" width="9.73046875" style="1457" customWidth="1"/>
    <col min="13841" max="13841" width="10" style="1457" customWidth="1"/>
    <col min="13842" max="13843" width="17" style="1457" customWidth="1"/>
    <col min="13844" max="14080" width="8.86328125" style="1457"/>
    <col min="14081" max="14081" width="86.73046875" style="1457" customWidth="1"/>
    <col min="14082" max="14082" width="23" style="1457" customWidth="1"/>
    <col min="14083" max="14083" width="17.59765625" style="1457" customWidth="1"/>
    <col min="14084" max="14084" width="27.265625" style="1457" customWidth="1"/>
    <col min="14085" max="14085" width="33.265625" style="1457" customWidth="1"/>
    <col min="14086" max="14086" width="27.73046875" style="1457" customWidth="1"/>
    <col min="14087" max="14087" width="22.265625" style="1457" customWidth="1"/>
    <col min="14088" max="14088" width="32" style="1457" customWidth="1"/>
    <col min="14089" max="14089" width="23.265625" style="1457" customWidth="1"/>
    <col min="14090" max="14090" width="18" style="1457" customWidth="1"/>
    <col min="14091" max="14091" width="16.73046875" style="1457" customWidth="1"/>
    <col min="14092" max="14092" width="13.265625" style="1457" customWidth="1"/>
    <col min="14093" max="14093" width="15.265625" style="1457" customWidth="1"/>
    <col min="14094" max="14094" width="11" style="1457" customWidth="1"/>
    <col min="14095" max="14096" width="9.73046875" style="1457" customWidth="1"/>
    <col min="14097" max="14097" width="10" style="1457" customWidth="1"/>
    <col min="14098" max="14099" width="17" style="1457" customWidth="1"/>
    <col min="14100" max="14336" width="8.86328125" style="1457"/>
    <col min="14337" max="14337" width="86.73046875" style="1457" customWidth="1"/>
    <col min="14338" max="14338" width="23" style="1457" customWidth="1"/>
    <col min="14339" max="14339" width="17.59765625" style="1457" customWidth="1"/>
    <col min="14340" max="14340" width="27.265625" style="1457" customWidth="1"/>
    <col min="14341" max="14341" width="33.265625" style="1457" customWidth="1"/>
    <col min="14342" max="14342" width="27.73046875" style="1457" customWidth="1"/>
    <col min="14343" max="14343" width="22.265625" style="1457" customWidth="1"/>
    <col min="14344" max="14344" width="32" style="1457" customWidth="1"/>
    <col min="14345" max="14345" width="23.265625" style="1457" customWidth="1"/>
    <col min="14346" max="14346" width="18" style="1457" customWidth="1"/>
    <col min="14347" max="14347" width="16.73046875" style="1457" customWidth="1"/>
    <col min="14348" max="14348" width="13.265625" style="1457" customWidth="1"/>
    <col min="14349" max="14349" width="15.265625" style="1457" customWidth="1"/>
    <col min="14350" max="14350" width="11" style="1457" customWidth="1"/>
    <col min="14351" max="14352" width="9.73046875" style="1457" customWidth="1"/>
    <col min="14353" max="14353" width="10" style="1457" customWidth="1"/>
    <col min="14354" max="14355" width="17" style="1457" customWidth="1"/>
    <col min="14356" max="14592" width="8.86328125" style="1457"/>
    <col min="14593" max="14593" width="86.73046875" style="1457" customWidth="1"/>
    <col min="14594" max="14594" width="23" style="1457" customWidth="1"/>
    <col min="14595" max="14595" width="17.59765625" style="1457" customWidth="1"/>
    <col min="14596" max="14596" width="27.265625" style="1457" customWidth="1"/>
    <col min="14597" max="14597" width="33.265625" style="1457" customWidth="1"/>
    <col min="14598" max="14598" width="27.73046875" style="1457" customWidth="1"/>
    <col min="14599" max="14599" width="22.265625" style="1457" customWidth="1"/>
    <col min="14600" max="14600" width="32" style="1457" customWidth="1"/>
    <col min="14601" max="14601" width="23.265625" style="1457" customWidth="1"/>
    <col min="14602" max="14602" width="18" style="1457" customWidth="1"/>
    <col min="14603" max="14603" width="16.73046875" style="1457" customWidth="1"/>
    <col min="14604" max="14604" width="13.265625" style="1457" customWidth="1"/>
    <col min="14605" max="14605" width="15.265625" style="1457" customWidth="1"/>
    <col min="14606" max="14606" width="11" style="1457" customWidth="1"/>
    <col min="14607" max="14608" width="9.73046875" style="1457" customWidth="1"/>
    <col min="14609" max="14609" width="10" style="1457" customWidth="1"/>
    <col min="14610" max="14611" width="17" style="1457" customWidth="1"/>
    <col min="14612" max="14848" width="8.86328125" style="1457"/>
    <col min="14849" max="14849" width="86.73046875" style="1457" customWidth="1"/>
    <col min="14850" max="14850" width="23" style="1457" customWidth="1"/>
    <col min="14851" max="14851" width="17.59765625" style="1457" customWidth="1"/>
    <col min="14852" max="14852" width="27.265625" style="1457" customWidth="1"/>
    <col min="14853" max="14853" width="33.265625" style="1457" customWidth="1"/>
    <col min="14854" max="14854" width="27.73046875" style="1457" customWidth="1"/>
    <col min="14855" max="14855" width="22.265625" style="1457" customWidth="1"/>
    <col min="14856" max="14856" width="32" style="1457" customWidth="1"/>
    <col min="14857" max="14857" width="23.265625" style="1457" customWidth="1"/>
    <col min="14858" max="14858" width="18" style="1457" customWidth="1"/>
    <col min="14859" max="14859" width="16.73046875" style="1457" customWidth="1"/>
    <col min="14860" max="14860" width="13.265625" style="1457" customWidth="1"/>
    <col min="14861" max="14861" width="15.265625" style="1457" customWidth="1"/>
    <col min="14862" max="14862" width="11" style="1457" customWidth="1"/>
    <col min="14863" max="14864" width="9.73046875" style="1457" customWidth="1"/>
    <col min="14865" max="14865" width="10" style="1457" customWidth="1"/>
    <col min="14866" max="14867" width="17" style="1457" customWidth="1"/>
    <col min="14868" max="15104" width="8.86328125" style="1457"/>
    <col min="15105" max="15105" width="86.73046875" style="1457" customWidth="1"/>
    <col min="15106" max="15106" width="23" style="1457" customWidth="1"/>
    <col min="15107" max="15107" width="17.59765625" style="1457" customWidth="1"/>
    <col min="15108" max="15108" width="27.265625" style="1457" customWidth="1"/>
    <col min="15109" max="15109" width="33.265625" style="1457" customWidth="1"/>
    <col min="15110" max="15110" width="27.73046875" style="1457" customWidth="1"/>
    <col min="15111" max="15111" width="22.265625" style="1457" customWidth="1"/>
    <col min="15112" max="15112" width="32" style="1457" customWidth="1"/>
    <col min="15113" max="15113" width="23.265625" style="1457" customWidth="1"/>
    <col min="15114" max="15114" width="18" style="1457" customWidth="1"/>
    <col min="15115" max="15115" width="16.73046875" style="1457" customWidth="1"/>
    <col min="15116" max="15116" width="13.265625" style="1457" customWidth="1"/>
    <col min="15117" max="15117" width="15.265625" style="1457" customWidth="1"/>
    <col min="15118" max="15118" width="11" style="1457" customWidth="1"/>
    <col min="15119" max="15120" width="9.73046875" style="1457" customWidth="1"/>
    <col min="15121" max="15121" width="10" style="1457" customWidth="1"/>
    <col min="15122" max="15123" width="17" style="1457" customWidth="1"/>
    <col min="15124" max="15360" width="8.86328125" style="1457"/>
    <col min="15361" max="15361" width="86.73046875" style="1457" customWidth="1"/>
    <col min="15362" max="15362" width="23" style="1457" customWidth="1"/>
    <col min="15363" max="15363" width="17.59765625" style="1457" customWidth="1"/>
    <col min="15364" max="15364" width="27.265625" style="1457" customWidth="1"/>
    <col min="15365" max="15365" width="33.265625" style="1457" customWidth="1"/>
    <col min="15366" max="15366" width="27.73046875" style="1457" customWidth="1"/>
    <col min="15367" max="15367" width="22.265625" style="1457" customWidth="1"/>
    <col min="15368" max="15368" width="32" style="1457" customWidth="1"/>
    <col min="15369" max="15369" width="23.265625" style="1457" customWidth="1"/>
    <col min="15370" max="15370" width="18" style="1457" customWidth="1"/>
    <col min="15371" max="15371" width="16.73046875" style="1457" customWidth="1"/>
    <col min="15372" max="15372" width="13.265625" style="1457" customWidth="1"/>
    <col min="15373" max="15373" width="15.265625" style="1457" customWidth="1"/>
    <col min="15374" max="15374" width="11" style="1457" customWidth="1"/>
    <col min="15375" max="15376" width="9.73046875" style="1457" customWidth="1"/>
    <col min="15377" max="15377" width="10" style="1457" customWidth="1"/>
    <col min="15378" max="15379" width="17" style="1457" customWidth="1"/>
    <col min="15380" max="15616" width="8.86328125" style="1457"/>
    <col min="15617" max="15617" width="86.73046875" style="1457" customWidth="1"/>
    <col min="15618" max="15618" width="23" style="1457" customWidth="1"/>
    <col min="15619" max="15619" width="17.59765625" style="1457" customWidth="1"/>
    <col min="15620" max="15620" width="27.265625" style="1457" customWidth="1"/>
    <col min="15621" max="15621" width="33.265625" style="1457" customWidth="1"/>
    <col min="15622" max="15622" width="27.73046875" style="1457" customWidth="1"/>
    <col min="15623" max="15623" width="22.265625" style="1457" customWidth="1"/>
    <col min="15624" max="15624" width="32" style="1457" customWidth="1"/>
    <col min="15625" max="15625" width="23.265625" style="1457" customWidth="1"/>
    <col min="15626" max="15626" width="18" style="1457" customWidth="1"/>
    <col min="15627" max="15627" width="16.73046875" style="1457" customWidth="1"/>
    <col min="15628" max="15628" width="13.265625" style="1457" customWidth="1"/>
    <col min="15629" max="15629" width="15.265625" style="1457" customWidth="1"/>
    <col min="15630" max="15630" width="11" style="1457" customWidth="1"/>
    <col min="15631" max="15632" width="9.73046875" style="1457" customWidth="1"/>
    <col min="15633" max="15633" width="10" style="1457" customWidth="1"/>
    <col min="15634" max="15635" width="17" style="1457" customWidth="1"/>
    <col min="15636" max="15872" width="8.86328125" style="1457"/>
    <col min="15873" max="15873" width="86.73046875" style="1457" customWidth="1"/>
    <col min="15874" max="15874" width="23" style="1457" customWidth="1"/>
    <col min="15875" max="15875" width="17.59765625" style="1457" customWidth="1"/>
    <col min="15876" max="15876" width="27.265625" style="1457" customWidth="1"/>
    <col min="15877" max="15877" width="33.265625" style="1457" customWidth="1"/>
    <col min="15878" max="15878" width="27.73046875" style="1457" customWidth="1"/>
    <col min="15879" max="15879" width="22.265625" style="1457" customWidth="1"/>
    <col min="15880" max="15880" width="32" style="1457" customWidth="1"/>
    <col min="15881" max="15881" width="23.265625" style="1457" customWidth="1"/>
    <col min="15882" max="15882" width="18" style="1457" customWidth="1"/>
    <col min="15883" max="15883" width="16.73046875" style="1457" customWidth="1"/>
    <col min="15884" max="15884" width="13.265625" style="1457" customWidth="1"/>
    <col min="15885" max="15885" width="15.265625" style="1457" customWidth="1"/>
    <col min="15886" max="15886" width="11" style="1457" customWidth="1"/>
    <col min="15887" max="15888" width="9.73046875" style="1457" customWidth="1"/>
    <col min="15889" max="15889" width="10" style="1457" customWidth="1"/>
    <col min="15890" max="15891" width="17" style="1457" customWidth="1"/>
    <col min="15892" max="16128" width="8.86328125" style="1457"/>
    <col min="16129" max="16129" width="86.73046875" style="1457" customWidth="1"/>
    <col min="16130" max="16130" width="23" style="1457" customWidth="1"/>
    <col min="16131" max="16131" width="17.59765625" style="1457" customWidth="1"/>
    <col min="16132" max="16132" width="27.265625" style="1457" customWidth="1"/>
    <col min="16133" max="16133" width="33.265625" style="1457" customWidth="1"/>
    <col min="16134" max="16134" width="27.73046875" style="1457" customWidth="1"/>
    <col min="16135" max="16135" width="22.265625" style="1457" customWidth="1"/>
    <col min="16136" max="16136" width="32" style="1457" customWidth="1"/>
    <col min="16137" max="16137" width="23.265625" style="1457" customWidth="1"/>
    <col min="16138" max="16138" width="18" style="1457" customWidth="1"/>
    <col min="16139" max="16139" width="16.73046875" style="1457" customWidth="1"/>
    <col min="16140" max="16140" width="13.265625" style="1457" customWidth="1"/>
    <col min="16141" max="16141" width="15.265625" style="1457" customWidth="1"/>
    <col min="16142" max="16142" width="11" style="1457" customWidth="1"/>
    <col min="16143" max="16144" width="9.73046875" style="1457" customWidth="1"/>
    <col min="16145" max="16145" width="10" style="1457" customWidth="1"/>
    <col min="16146" max="16147" width="17" style="1457" customWidth="1"/>
    <col min="16148" max="16384" width="8.86328125" style="1457"/>
  </cols>
  <sheetData>
    <row r="1" spans="1:22" ht="36">
      <c r="A1" s="1456" t="s">
        <v>1939</v>
      </c>
    </row>
    <row r="2" spans="1:22">
      <c r="A2" s="1458" t="s">
        <v>1807</v>
      </c>
    </row>
    <row r="3" spans="1:22">
      <c r="A3" s="1458"/>
    </row>
    <row r="4" spans="1:22" s="1460" customFormat="1" ht="18.399999999999999" thickBot="1">
      <c r="A4" s="1459" t="s">
        <v>367</v>
      </c>
      <c r="J4" s="1461"/>
      <c r="K4" s="1461"/>
      <c r="L4" s="1461"/>
      <c r="M4" s="1461"/>
      <c r="N4" s="1461"/>
      <c r="V4" s="1462"/>
    </row>
    <row r="5" spans="1:22" ht="14.65" thickBot="1">
      <c r="A5" s="1687"/>
      <c r="B5" s="1471" t="s">
        <v>368</v>
      </c>
      <c r="C5" s="1463" t="s">
        <v>369</v>
      </c>
      <c r="D5" s="1463" t="s">
        <v>1808</v>
      </c>
      <c r="E5" s="1463" t="s">
        <v>371</v>
      </c>
      <c r="F5" s="1463" t="s">
        <v>1809</v>
      </c>
      <c r="G5" s="1463" t="s">
        <v>375</v>
      </c>
      <c r="H5" s="1464" t="s">
        <v>77</v>
      </c>
      <c r="I5" s="1464" t="s">
        <v>78</v>
      </c>
      <c r="J5" s="1464" t="s">
        <v>376</v>
      </c>
      <c r="K5" s="1464" t="s">
        <v>377</v>
      </c>
      <c r="L5" s="1464" t="s">
        <v>378</v>
      </c>
      <c r="M5" s="1463" t="s">
        <v>379</v>
      </c>
      <c r="N5" s="1463" t="s">
        <v>380</v>
      </c>
      <c r="O5" s="1463" t="s">
        <v>381</v>
      </c>
      <c r="P5" s="1463" t="s">
        <v>382</v>
      </c>
      <c r="Q5" s="1465" t="s">
        <v>139</v>
      </c>
      <c r="R5" s="1677" t="s">
        <v>1810</v>
      </c>
      <c r="S5" s="1466"/>
      <c r="U5" s="1467"/>
    </row>
    <row r="6" spans="1:22" ht="14.25">
      <c r="A6" s="1688"/>
      <c r="B6" s="1682"/>
      <c r="C6" s="1543"/>
      <c r="D6" s="1544"/>
      <c r="E6" s="1544">
        <f>0.6*D6</f>
        <v>0</v>
      </c>
      <c r="F6" s="1544">
        <f t="shared" ref="F6:F16" si="0">D6-E6</f>
        <v>0</v>
      </c>
      <c r="G6" s="1545" t="s">
        <v>389</v>
      </c>
      <c r="H6" s="1546"/>
      <c r="I6" s="1546"/>
      <c r="J6" s="1546"/>
      <c r="K6" s="1546"/>
      <c r="L6" s="1546"/>
      <c r="M6" s="1545"/>
      <c r="N6" s="1545"/>
      <c r="O6" s="1545"/>
      <c r="P6" s="1545"/>
      <c r="Q6" s="1547"/>
      <c r="R6" s="1678"/>
      <c r="S6" s="1466"/>
      <c r="T6" s="1466" t="s">
        <v>401</v>
      </c>
      <c r="V6" s="1467" t="s">
        <v>402</v>
      </c>
    </row>
    <row r="7" spans="1:22" ht="14.25">
      <c r="A7" s="1689" t="s">
        <v>1940</v>
      </c>
      <c r="B7" s="1682">
        <v>182</v>
      </c>
      <c r="C7" s="1543">
        <v>9</v>
      </c>
      <c r="D7" s="1544">
        <f>5300*B7</f>
        <v>964600</v>
      </c>
      <c r="E7" s="1544">
        <v>0</v>
      </c>
      <c r="F7" s="1544">
        <f t="shared" si="0"/>
        <v>964600</v>
      </c>
      <c r="G7" s="1549" t="s">
        <v>389</v>
      </c>
      <c r="H7" s="1546" t="s">
        <v>386</v>
      </c>
      <c r="I7" s="1546" t="s">
        <v>386</v>
      </c>
      <c r="J7" s="1550" t="s">
        <v>400</v>
      </c>
      <c r="K7" s="1550" t="s">
        <v>400</v>
      </c>
      <c r="L7" s="1546" t="s">
        <v>386</v>
      </c>
      <c r="M7" s="1545" t="s">
        <v>412</v>
      </c>
      <c r="N7" s="1546" t="s">
        <v>391</v>
      </c>
      <c r="O7" s="1546" t="s">
        <v>391</v>
      </c>
      <c r="P7" s="1546" t="s">
        <v>391</v>
      </c>
      <c r="Q7" s="1551" t="s">
        <v>391</v>
      </c>
      <c r="R7" s="1678">
        <v>2024</v>
      </c>
      <c r="S7" s="1466"/>
      <c r="U7" s="1467"/>
    </row>
    <row r="8" spans="1:22" ht="14.25">
      <c r="A8" s="1689" t="s">
        <v>403</v>
      </c>
      <c r="B8" s="1682">
        <v>372</v>
      </c>
      <c r="C8" s="1543">
        <v>12</v>
      </c>
      <c r="D8" s="1544">
        <f>9300*B8</f>
        <v>3459600</v>
      </c>
      <c r="E8" s="1544">
        <v>0</v>
      </c>
      <c r="F8" s="1544">
        <f t="shared" si="0"/>
        <v>3459600</v>
      </c>
      <c r="G8" s="1549" t="s">
        <v>389</v>
      </c>
      <c r="H8" s="1546" t="s">
        <v>386</v>
      </c>
      <c r="I8" s="1546" t="s">
        <v>386</v>
      </c>
      <c r="J8" s="1546" t="s">
        <v>386</v>
      </c>
      <c r="K8" s="1550" t="s">
        <v>400</v>
      </c>
      <c r="L8" s="1546" t="s">
        <v>386</v>
      </c>
      <c r="M8" s="1552" t="s">
        <v>390</v>
      </c>
      <c r="N8" s="1546" t="s">
        <v>386</v>
      </c>
      <c r="O8" s="1546" t="s">
        <v>386</v>
      </c>
      <c r="P8" s="1546" t="s">
        <v>391</v>
      </c>
      <c r="Q8" s="1551" t="s">
        <v>391</v>
      </c>
      <c r="R8" s="1678">
        <v>2024</v>
      </c>
      <c r="S8" s="1466"/>
      <c r="U8" s="1467"/>
    </row>
    <row r="9" spans="1:22" ht="14.25">
      <c r="A9" s="1690" t="s">
        <v>394</v>
      </c>
      <c r="B9" s="1683">
        <v>150</v>
      </c>
      <c r="C9" s="1554">
        <v>17</v>
      </c>
      <c r="D9" s="1544">
        <f>5300*B9</f>
        <v>795000</v>
      </c>
      <c r="E9" s="1544">
        <f>0*D9</f>
        <v>0</v>
      </c>
      <c r="F9" s="1544">
        <f t="shared" si="0"/>
        <v>795000</v>
      </c>
      <c r="G9" s="1549" t="s">
        <v>395</v>
      </c>
      <c r="H9" s="1555" t="s">
        <v>386</v>
      </c>
      <c r="I9" s="1555" t="s">
        <v>386</v>
      </c>
      <c r="J9" s="1555" t="s">
        <v>386</v>
      </c>
      <c r="K9" s="1555" t="s">
        <v>386</v>
      </c>
      <c r="L9" s="1555" t="s">
        <v>386</v>
      </c>
      <c r="M9" s="1549" t="s">
        <v>390</v>
      </c>
      <c r="N9" s="1546" t="s">
        <v>386</v>
      </c>
      <c r="O9" s="1546" t="s">
        <v>386</v>
      </c>
      <c r="P9" s="1546" t="s">
        <v>386</v>
      </c>
      <c r="Q9" s="1551" t="s">
        <v>400</v>
      </c>
      <c r="R9" s="1678">
        <v>2024</v>
      </c>
      <c r="S9" s="1466"/>
      <c r="U9" s="1467"/>
    </row>
    <row r="10" spans="1:22" ht="14.25">
      <c r="A10" s="1690" t="s">
        <v>398</v>
      </c>
      <c r="B10" s="1683">
        <v>95</v>
      </c>
      <c r="C10" s="1554">
        <v>12</v>
      </c>
      <c r="D10" s="1544">
        <f>5300*B10</f>
        <v>503500</v>
      </c>
      <c r="E10" s="1544">
        <f>0*D10</f>
        <v>0</v>
      </c>
      <c r="F10" s="1544">
        <f t="shared" si="0"/>
        <v>503500</v>
      </c>
      <c r="G10" s="1549" t="s">
        <v>399</v>
      </c>
      <c r="H10" s="1555" t="s">
        <v>386</v>
      </c>
      <c r="I10" s="1555" t="s">
        <v>386</v>
      </c>
      <c r="J10" s="1555" t="s">
        <v>386</v>
      </c>
      <c r="K10" s="1556" t="s">
        <v>400</v>
      </c>
      <c r="L10" s="1555" t="s">
        <v>386</v>
      </c>
      <c r="M10" s="1549" t="s">
        <v>390</v>
      </c>
      <c r="N10" s="1555" t="s">
        <v>386</v>
      </c>
      <c r="O10" s="1555" t="s">
        <v>386</v>
      </c>
      <c r="P10" s="1555" t="s">
        <v>391</v>
      </c>
      <c r="Q10" s="1557" t="s">
        <v>391</v>
      </c>
      <c r="R10" s="1678">
        <v>2024</v>
      </c>
    </row>
    <row r="11" spans="1:22" ht="14.25">
      <c r="A11" s="1690" t="s">
        <v>525</v>
      </c>
      <c r="B11" s="1683">
        <v>172</v>
      </c>
      <c r="C11" s="1554">
        <v>12</v>
      </c>
      <c r="D11" s="1544">
        <f>5300*B11</f>
        <v>911600</v>
      </c>
      <c r="E11" s="1544">
        <f>0*D11</f>
        <v>0</v>
      </c>
      <c r="F11" s="1544">
        <f t="shared" si="0"/>
        <v>911600</v>
      </c>
      <c r="G11" s="1549" t="s">
        <v>389</v>
      </c>
      <c r="H11" s="1555" t="s">
        <v>386</v>
      </c>
      <c r="I11" s="1555" t="s">
        <v>386</v>
      </c>
      <c r="J11" s="1555" t="s">
        <v>386</v>
      </c>
      <c r="K11" s="1556" t="s">
        <v>400</v>
      </c>
      <c r="L11" s="1556" t="s">
        <v>400</v>
      </c>
      <c r="M11" s="1549" t="s">
        <v>412</v>
      </c>
      <c r="N11" s="1555" t="s">
        <v>391</v>
      </c>
      <c r="O11" s="1555" t="s">
        <v>391</v>
      </c>
      <c r="P11" s="1555" t="s">
        <v>391</v>
      </c>
      <c r="Q11" s="1557" t="s">
        <v>391</v>
      </c>
      <c r="R11" s="1679">
        <v>2024</v>
      </c>
    </row>
    <row r="12" spans="1:22" ht="14.25">
      <c r="A12" s="1691" t="s">
        <v>1941</v>
      </c>
      <c r="B12" s="1684"/>
      <c r="C12" s="1559"/>
      <c r="D12" s="1560">
        <v>2800000</v>
      </c>
      <c r="E12" s="1560">
        <v>0</v>
      </c>
      <c r="F12" s="1560">
        <v>2800000</v>
      </c>
      <c r="G12" s="1549" t="s">
        <v>389</v>
      </c>
      <c r="H12" s="1555" t="s">
        <v>386</v>
      </c>
      <c r="I12" s="1555" t="s">
        <v>386</v>
      </c>
      <c r="J12" s="1555" t="s">
        <v>386</v>
      </c>
      <c r="K12" s="1555" t="s">
        <v>386</v>
      </c>
      <c r="L12" s="1556" t="s">
        <v>391</v>
      </c>
      <c r="M12" s="1549" t="s">
        <v>412</v>
      </c>
      <c r="N12" s="1549" t="s">
        <v>391</v>
      </c>
      <c r="O12" s="1549" t="s">
        <v>391</v>
      </c>
      <c r="P12" s="1549" t="s">
        <v>391</v>
      </c>
      <c r="Q12" s="1558" t="s">
        <v>391</v>
      </c>
      <c r="R12" s="1680">
        <v>2023</v>
      </c>
    </row>
    <row r="13" spans="1:22" ht="14.25">
      <c r="A13" s="1691" t="s">
        <v>1942</v>
      </c>
      <c r="B13" s="1684"/>
      <c r="C13" s="1559"/>
      <c r="D13" s="1560">
        <v>2800000</v>
      </c>
      <c r="E13" s="1560">
        <v>0</v>
      </c>
      <c r="F13" s="1560">
        <v>2800000</v>
      </c>
      <c r="G13" s="1549" t="s">
        <v>389</v>
      </c>
      <c r="H13" s="1555" t="s">
        <v>386</v>
      </c>
      <c r="I13" s="1555" t="s">
        <v>386</v>
      </c>
      <c r="J13" s="1555" t="s">
        <v>386</v>
      </c>
      <c r="K13" s="1555" t="s">
        <v>386</v>
      </c>
      <c r="L13" s="1556" t="s">
        <v>391</v>
      </c>
      <c r="M13" s="1549" t="s">
        <v>412</v>
      </c>
      <c r="N13" s="1549" t="s">
        <v>391</v>
      </c>
      <c r="O13" s="1549" t="s">
        <v>391</v>
      </c>
      <c r="P13" s="1549" t="s">
        <v>391</v>
      </c>
      <c r="Q13" s="1558" t="s">
        <v>391</v>
      </c>
      <c r="R13" s="1680">
        <v>2023</v>
      </c>
    </row>
    <row r="14" spans="1:22" ht="14.25">
      <c r="A14" s="1690" t="s">
        <v>411</v>
      </c>
      <c r="B14" s="1683">
        <v>520</v>
      </c>
      <c r="C14" s="1554">
        <v>13</v>
      </c>
      <c r="D14" s="1544">
        <f>5300*B14</f>
        <v>2756000</v>
      </c>
      <c r="E14" s="1544">
        <f>0*D14</f>
        <v>0</v>
      </c>
      <c r="F14" s="1544">
        <f>D14-E14</f>
        <v>2756000</v>
      </c>
      <c r="G14" s="1549" t="s">
        <v>389</v>
      </c>
      <c r="H14" s="1555" t="s">
        <v>386</v>
      </c>
      <c r="I14" s="1555" t="s">
        <v>386</v>
      </c>
      <c r="J14" s="1555" t="s">
        <v>386</v>
      </c>
      <c r="K14" s="1555" t="s">
        <v>386</v>
      </c>
      <c r="L14" s="1556" t="s">
        <v>400</v>
      </c>
      <c r="M14" s="1549" t="s">
        <v>412</v>
      </c>
      <c r="N14" s="1549" t="s">
        <v>391</v>
      </c>
      <c r="O14" s="1549" t="s">
        <v>391</v>
      </c>
      <c r="P14" s="1549" t="s">
        <v>391</v>
      </c>
      <c r="Q14" s="1558" t="s">
        <v>391</v>
      </c>
      <c r="R14" s="1680">
        <v>2023</v>
      </c>
    </row>
    <row r="15" spans="1:22" ht="14.25">
      <c r="A15" s="1691" t="s">
        <v>1943</v>
      </c>
      <c r="B15" s="1684"/>
      <c r="C15" s="1559"/>
      <c r="D15" s="1561">
        <v>80000000</v>
      </c>
      <c r="E15" s="1560">
        <v>75500000</v>
      </c>
      <c r="F15" s="1560">
        <v>4500000</v>
      </c>
      <c r="G15" s="1549" t="s">
        <v>1944</v>
      </c>
      <c r="H15" s="1562"/>
      <c r="I15" s="1562"/>
      <c r="J15" s="1562"/>
      <c r="K15" s="1563"/>
      <c r="L15" s="1563"/>
      <c r="M15" s="1564"/>
      <c r="N15" s="1562"/>
      <c r="O15" s="1562"/>
      <c r="P15" s="1562"/>
      <c r="Q15" s="1685"/>
      <c r="R15" s="1680">
        <v>2024</v>
      </c>
    </row>
    <row r="16" spans="1:22" ht="14.65" thickBot="1">
      <c r="A16" s="1692" t="s">
        <v>414</v>
      </c>
      <c r="B16" s="1686">
        <v>218</v>
      </c>
      <c r="C16" s="1566">
        <v>7</v>
      </c>
      <c r="D16" s="1567">
        <v>4500000</v>
      </c>
      <c r="E16" s="1568">
        <f>0*D16</f>
        <v>0</v>
      </c>
      <c r="F16" s="1568">
        <f t="shared" si="0"/>
        <v>4500000</v>
      </c>
      <c r="G16" s="1569" t="s">
        <v>389</v>
      </c>
      <c r="H16" s="1570" t="s">
        <v>386</v>
      </c>
      <c r="I16" s="1570" t="s">
        <v>386</v>
      </c>
      <c r="J16" s="1571" t="s">
        <v>415</v>
      </c>
      <c r="K16" s="1570" t="s">
        <v>386</v>
      </c>
      <c r="L16" s="1570" t="s">
        <v>386</v>
      </c>
      <c r="M16" s="1569" t="s">
        <v>412</v>
      </c>
      <c r="N16" s="1570" t="s">
        <v>391</v>
      </c>
      <c r="O16" s="1570" t="s">
        <v>391</v>
      </c>
      <c r="P16" s="1570" t="s">
        <v>391</v>
      </c>
      <c r="Q16" s="1572" t="s">
        <v>391</v>
      </c>
      <c r="R16" s="1681">
        <v>2024</v>
      </c>
    </row>
    <row r="17" spans="1:18" ht="14.25">
      <c r="A17" s="1574"/>
      <c r="B17" s="1574"/>
      <c r="C17" s="1574"/>
      <c r="D17" s="1574"/>
      <c r="E17" s="1574"/>
      <c r="F17" s="1574"/>
      <c r="G17" s="1574"/>
      <c r="H17" s="1574"/>
      <c r="I17" s="1574"/>
      <c r="J17" s="1574"/>
      <c r="K17" s="1574"/>
      <c r="L17" s="1574"/>
      <c r="M17" s="1574"/>
      <c r="N17" s="1574"/>
      <c r="O17" s="1574"/>
      <c r="P17" s="1574"/>
      <c r="Q17" s="1574"/>
      <c r="R17" s="1574"/>
    </row>
    <row r="18" spans="1:18" ht="14.25">
      <c r="A18" s="1575" t="s">
        <v>416</v>
      </c>
      <c r="B18" s="1576">
        <f>SUM(B7:B16)</f>
        <v>1709</v>
      </c>
      <c r="C18" s="1574"/>
      <c r="D18" s="1577">
        <f>SUM(D6:D16)</f>
        <v>99490300</v>
      </c>
      <c r="E18" s="1577">
        <f>SUM(E6:E16)</f>
        <v>75500000</v>
      </c>
      <c r="F18" s="1577">
        <f>SUM(F6:F16)</f>
        <v>23990300</v>
      </c>
      <c r="G18" s="1574"/>
      <c r="H18" s="1574"/>
      <c r="I18" s="1574"/>
      <c r="J18" s="1574"/>
      <c r="K18" s="1574"/>
      <c r="L18" s="1574"/>
      <c r="M18" s="1574"/>
      <c r="N18" s="1574"/>
      <c r="O18" s="1574"/>
      <c r="P18" s="1574"/>
      <c r="Q18" s="1574"/>
      <c r="R18" s="1574"/>
    </row>
    <row r="19" spans="1:18" ht="14.25">
      <c r="A19" s="1575"/>
      <c r="B19" s="1576"/>
      <c r="C19" s="1574"/>
      <c r="D19" s="1577"/>
      <c r="E19" s="1577"/>
      <c r="F19" s="1577"/>
      <c r="G19" s="1574"/>
      <c r="H19" s="1574"/>
      <c r="I19" s="1574"/>
      <c r="J19" s="1574"/>
      <c r="K19" s="1574"/>
      <c r="L19" s="1574"/>
      <c r="M19" s="1574"/>
      <c r="N19" s="1574"/>
      <c r="O19" s="1574"/>
      <c r="P19" s="1574"/>
      <c r="Q19" s="1574"/>
      <c r="R19" s="1574"/>
    </row>
    <row r="20" spans="1:18" ht="15.4" thickBot="1">
      <c r="A20" s="1470" t="s">
        <v>1811</v>
      </c>
      <c r="B20" s="1574"/>
      <c r="C20" s="1574"/>
      <c r="D20" s="1574"/>
      <c r="E20" s="1574"/>
      <c r="F20" s="1574"/>
      <c r="G20" s="1574"/>
      <c r="H20" s="1574"/>
      <c r="I20" s="1574"/>
      <c r="J20" s="1574"/>
      <c r="K20" s="1574"/>
      <c r="L20" s="1574"/>
      <c r="M20" s="1574"/>
      <c r="N20" s="1574"/>
      <c r="O20" s="1574"/>
      <c r="P20" s="1574"/>
      <c r="Q20" s="1574"/>
      <c r="R20" s="1574"/>
    </row>
    <row r="21" spans="1:18" ht="14.65" thickBot="1">
      <c r="A21" s="1578"/>
      <c r="B21" s="1579" t="s">
        <v>368</v>
      </c>
      <c r="C21" s="1574"/>
      <c r="D21" s="1578" t="s">
        <v>1812</v>
      </c>
      <c r="E21" s="1580" t="s">
        <v>417</v>
      </c>
      <c r="F21" s="1580" t="s">
        <v>1809</v>
      </c>
      <c r="G21" s="1580" t="s">
        <v>375</v>
      </c>
      <c r="H21" s="1580" t="s">
        <v>379</v>
      </c>
      <c r="I21" s="1580" t="s">
        <v>380</v>
      </c>
      <c r="J21" s="1580" t="s">
        <v>381</v>
      </c>
      <c r="K21" s="1580" t="s">
        <v>382</v>
      </c>
      <c r="L21" s="1579" t="s">
        <v>139</v>
      </c>
      <c r="M21" s="1579" t="s">
        <v>1810</v>
      </c>
      <c r="N21" s="1574"/>
      <c r="O21" s="1574"/>
      <c r="P21" s="1574"/>
      <c r="Q21" s="1574"/>
      <c r="R21" s="1574"/>
    </row>
    <row r="22" spans="1:18" ht="14.25">
      <c r="A22" s="1581" t="s">
        <v>419</v>
      </c>
      <c r="B22" s="1582">
        <v>350</v>
      </c>
      <c r="C22" s="1574"/>
      <c r="D22" s="1583">
        <v>650000</v>
      </c>
      <c r="E22" s="1584">
        <v>500000</v>
      </c>
      <c r="F22" s="1585">
        <f t="shared" ref="F22:F27" si="1">D22-E22</f>
        <v>150000</v>
      </c>
      <c r="G22" s="1586" t="s">
        <v>389</v>
      </c>
      <c r="H22" s="1586" t="s">
        <v>420</v>
      </c>
      <c r="I22" s="1586" t="s">
        <v>387</v>
      </c>
      <c r="J22" s="1586" t="s">
        <v>387</v>
      </c>
      <c r="K22" s="1586" t="s">
        <v>387</v>
      </c>
      <c r="L22" s="1587" t="s">
        <v>387</v>
      </c>
      <c r="M22" s="1587">
        <v>2023</v>
      </c>
      <c r="N22" s="1588" t="s">
        <v>1813</v>
      </c>
      <c r="O22" s="1574"/>
      <c r="P22" s="1574"/>
      <c r="Q22" s="1574"/>
      <c r="R22" s="1574"/>
    </row>
    <row r="23" spans="1:18" ht="14.25">
      <c r="A23" s="1589" t="s">
        <v>528</v>
      </c>
      <c r="B23" s="1590">
        <v>300</v>
      </c>
      <c r="C23" s="1574"/>
      <c r="D23" s="1583">
        <v>750000</v>
      </c>
      <c r="E23" s="1584">
        <v>630000</v>
      </c>
      <c r="F23" s="1585">
        <f t="shared" si="1"/>
        <v>120000</v>
      </c>
      <c r="G23" s="1586" t="s">
        <v>389</v>
      </c>
      <c r="H23" s="1586" t="s">
        <v>511</v>
      </c>
      <c r="I23" s="1586" t="s">
        <v>391</v>
      </c>
      <c r="J23" s="1586" t="s">
        <v>391</v>
      </c>
      <c r="K23" s="1586" t="s">
        <v>391</v>
      </c>
      <c r="L23" s="1587" t="s">
        <v>391</v>
      </c>
      <c r="M23" s="1587">
        <v>2024</v>
      </c>
      <c r="N23" s="1574"/>
      <c r="O23" s="1574"/>
      <c r="P23" s="1574"/>
      <c r="Q23" s="1574"/>
      <c r="R23" s="1574"/>
    </row>
    <row r="24" spans="1:18" ht="14.25">
      <c r="A24" s="1589" t="s">
        <v>1945</v>
      </c>
      <c r="B24" s="1590">
        <v>200</v>
      </c>
      <c r="C24" s="1591"/>
      <c r="D24" s="1583">
        <v>3700000</v>
      </c>
      <c r="E24" s="1584">
        <v>0</v>
      </c>
      <c r="F24" s="1585">
        <f t="shared" si="1"/>
        <v>3700000</v>
      </c>
      <c r="G24" s="1586" t="s">
        <v>389</v>
      </c>
      <c r="H24" s="1586" t="s">
        <v>1946</v>
      </c>
      <c r="I24" s="1586" t="s">
        <v>391</v>
      </c>
      <c r="J24" s="1586" t="s">
        <v>391</v>
      </c>
      <c r="K24" s="1586" t="s">
        <v>391</v>
      </c>
      <c r="L24" s="1587" t="s">
        <v>391</v>
      </c>
      <c r="M24" s="1587">
        <v>2024</v>
      </c>
      <c r="N24" s="1574"/>
      <c r="O24" s="1574"/>
      <c r="P24" s="1574"/>
      <c r="Q24" s="1574"/>
      <c r="R24" s="1574"/>
    </row>
    <row r="25" spans="1:18" ht="14.25">
      <c r="A25" s="1592" t="s">
        <v>1947</v>
      </c>
      <c r="B25" s="1593">
        <v>208</v>
      </c>
      <c r="C25" s="1591"/>
      <c r="D25" s="1583">
        <v>3900000</v>
      </c>
      <c r="E25" s="1584">
        <v>3400000</v>
      </c>
      <c r="F25" s="1585">
        <f t="shared" si="1"/>
        <v>500000</v>
      </c>
      <c r="G25" s="1586" t="s">
        <v>389</v>
      </c>
      <c r="H25" s="1586" t="s">
        <v>1946</v>
      </c>
      <c r="I25" s="1586" t="s">
        <v>391</v>
      </c>
      <c r="J25" s="1586" t="s">
        <v>391</v>
      </c>
      <c r="K25" s="1586" t="s">
        <v>391</v>
      </c>
      <c r="L25" s="1587" t="s">
        <v>391</v>
      </c>
      <c r="M25" s="1592">
        <v>2023</v>
      </c>
      <c r="N25" s="1574"/>
      <c r="O25" s="1574"/>
      <c r="P25" s="1574"/>
      <c r="Q25" s="1574"/>
      <c r="R25" s="1574"/>
    </row>
    <row r="26" spans="1:18" ht="14.25">
      <c r="A26" s="1592" t="s">
        <v>1948</v>
      </c>
      <c r="B26" s="1593">
        <v>80</v>
      </c>
      <c r="C26" s="1591"/>
      <c r="D26" s="1583">
        <v>1000000</v>
      </c>
      <c r="E26" s="1584">
        <v>0</v>
      </c>
      <c r="F26" s="1585">
        <f t="shared" si="1"/>
        <v>1000000</v>
      </c>
      <c r="G26" s="1586" t="s">
        <v>389</v>
      </c>
      <c r="H26" s="1586" t="s">
        <v>1946</v>
      </c>
      <c r="I26" s="1586" t="s">
        <v>391</v>
      </c>
      <c r="J26" s="1586" t="s">
        <v>391</v>
      </c>
      <c r="K26" s="1586" t="s">
        <v>391</v>
      </c>
      <c r="L26" s="1587" t="s">
        <v>391</v>
      </c>
      <c r="M26" s="1592">
        <v>2024</v>
      </c>
      <c r="N26" s="1574"/>
      <c r="O26" s="1574"/>
      <c r="P26" s="1574"/>
      <c r="Q26" s="1574"/>
      <c r="R26" s="1574"/>
    </row>
    <row r="27" spans="1:18" ht="14.25">
      <c r="A27" s="1592" t="s">
        <v>1949</v>
      </c>
      <c r="B27" s="1593">
        <v>120</v>
      </c>
      <c r="C27" s="1591"/>
      <c r="D27" s="1583">
        <v>1600000</v>
      </c>
      <c r="E27" s="1584">
        <v>0</v>
      </c>
      <c r="F27" s="1585">
        <f t="shared" si="1"/>
        <v>1600000</v>
      </c>
      <c r="G27" s="1586" t="s">
        <v>389</v>
      </c>
      <c r="H27" s="1586" t="s">
        <v>1946</v>
      </c>
      <c r="I27" s="1586" t="s">
        <v>391</v>
      </c>
      <c r="J27" s="1586" t="s">
        <v>391</v>
      </c>
      <c r="K27" s="1586" t="s">
        <v>391</v>
      </c>
      <c r="L27" s="1587" t="s">
        <v>391</v>
      </c>
      <c r="M27" s="1592">
        <v>2024</v>
      </c>
      <c r="N27" s="1574"/>
      <c r="O27" s="1574"/>
      <c r="P27" s="1574"/>
      <c r="Q27" s="1574"/>
      <c r="R27" s="1574"/>
    </row>
    <row r="28" spans="1:18" ht="14.25">
      <c r="A28" s="1574"/>
      <c r="B28" s="1574"/>
      <c r="C28" s="1574"/>
      <c r="D28" s="1574"/>
      <c r="E28" s="1574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</row>
    <row r="29" spans="1:18" ht="14.25">
      <c r="A29" s="1575" t="s">
        <v>416</v>
      </c>
      <c r="B29" s="1576">
        <f>SUM(B22:B27)</f>
        <v>1258</v>
      </c>
      <c r="C29" s="1574"/>
      <c r="D29" s="1577">
        <f>SUM(D22:D27)</f>
        <v>11600000</v>
      </c>
      <c r="E29" s="1577">
        <f>SUM(E22:E27)</f>
        <v>4530000</v>
      </c>
      <c r="F29" s="1577">
        <f>SUM(F22:F27)</f>
        <v>7070000</v>
      </c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</row>
    <row r="30" spans="1:18" ht="14.25">
      <c r="A30" s="1574"/>
      <c r="B30" s="1574"/>
      <c r="C30" s="1574"/>
      <c r="D30" s="1574"/>
      <c r="E30" s="1577"/>
      <c r="F30" s="1574"/>
      <c r="G30" s="1574"/>
      <c r="H30" s="1574"/>
      <c r="I30" s="1574"/>
      <c r="J30" s="1574"/>
      <c r="K30" s="1574"/>
      <c r="L30" s="1574"/>
      <c r="M30" s="1574"/>
      <c r="N30" s="1574"/>
      <c r="O30" s="1574"/>
      <c r="P30" s="1574"/>
      <c r="Q30" s="1574"/>
      <c r="R30" s="1574"/>
    </row>
    <row r="31" spans="1:18" ht="15.4" thickBot="1">
      <c r="A31" s="1470" t="s">
        <v>426</v>
      </c>
      <c r="B31" s="1574"/>
      <c r="C31" s="1574"/>
      <c r="D31" s="1574"/>
      <c r="E31" s="1577"/>
      <c r="F31" s="1574"/>
      <c r="G31" s="1574"/>
      <c r="H31" s="1574"/>
      <c r="I31" s="1574"/>
      <c r="J31" s="1574"/>
      <c r="K31" s="1574"/>
      <c r="L31" s="1574"/>
      <c r="M31" s="1574"/>
      <c r="N31" s="1574"/>
      <c r="O31" s="1574"/>
      <c r="P31" s="1574"/>
      <c r="Q31" s="1574"/>
      <c r="R31" s="1574"/>
    </row>
    <row r="32" spans="1:18" ht="14.65" thickBot="1">
      <c r="A32" s="1594"/>
      <c r="B32" s="1574"/>
      <c r="C32" s="1574"/>
      <c r="D32" s="1578" t="s">
        <v>370</v>
      </c>
      <c r="E32" s="1595" t="s">
        <v>427</v>
      </c>
      <c r="F32" s="1580" t="s">
        <v>418</v>
      </c>
      <c r="G32" s="1580" t="s">
        <v>375</v>
      </c>
      <c r="H32" s="1580" t="s">
        <v>379</v>
      </c>
      <c r="I32" s="1580" t="s">
        <v>380</v>
      </c>
      <c r="J32" s="1580" t="s">
        <v>381</v>
      </c>
      <c r="K32" s="1580" t="s">
        <v>382</v>
      </c>
      <c r="L32" s="1579" t="s">
        <v>139</v>
      </c>
      <c r="M32" s="1579" t="s">
        <v>1810</v>
      </c>
      <c r="N32" s="1574"/>
      <c r="O32" s="1574"/>
      <c r="P32" s="1574"/>
      <c r="Q32" s="1574"/>
      <c r="R32" s="1574"/>
    </row>
    <row r="33" spans="1:18" ht="14.25">
      <c r="A33" s="1596"/>
      <c r="B33" s="1574"/>
      <c r="C33" s="1574"/>
      <c r="D33" s="1597"/>
      <c r="E33" s="1598"/>
      <c r="F33" s="1599"/>
      <c r="G33" s="1600"/>
      <c r="H33" s="1600"/>
      <c r="I33" s="1601"/>
      <c r="J33" s="1601"/>
      <c r="K33" s="1601"/>
      <c r="L33" s="1601"/>
      <c r="M33" s="1602"/>
      <c r="N33" s="1574"/>
      <c r="O33" s="1574"/>
      <c r="P33" s="1574"/>
      <c r="Q33" s="1574"/>
      <c r="R33" s="1574"/>
    </row>
    <row r="34" spans="1:18" ht="14.25">
      <c r="A34" s="1596"/>
      <c r="B34" s="1574"/>
      <c r="C34" s="1574"/>
      <c r="D34" s="1597"/>
      <c r="E34" s="1598"/>
      <c r="F34" s="1599"/>
      <c r="G34" s="1600"/>
      <c r="H34" s="1600"/>
      <c r="I34" s="1601"/>
      <c r="J34" s="1601"/>
      <c r="K34" s="1601"/>
      <c r="L34" s="1601"/>
      <c r="M34" s="1602"/>
      <c r="N34" s="1574"/>
      <c r="O34" s="1574"/>
      <c r="P34" s="1574"/>
      <c r="Q34" s="1574"/>
      <c r="R34" s="1574"/>
    </row>
    <row r="35" spans="1:18" ht="14.65" thickBot="1">
      <c r="A35" s="1603"/>
      <c r="B35" s="1574"/>
      <c r="C35" s="1574"/>
      <c r="D35" s="1604"/>
      <c r="E35" s="1605"/>
      <c r="F35" s="1606"/>
      <c r="G35" s="1607"/>
      <c r="H35" s="1608"/>
      <c r="I35" s="1607"/>
      <c r="J35" s="1607"/>
      <c r="K35" s="1607"/>
      <c r="L35" s="1607"/>
      <c r="M35" s="1609"/>
      <c r="N35" s="1574"/>
      <c r="O35" s="1574"/>
      <c r="P35" s="1574"/>
      <c r="Q35" s="1574"/>
      <c r="R35" s="1574"/>
    </row>
    <row r="36" spans="1:18" ht="14.25">
      <c r="A36" s="1574"/>
      <c r="B36" s="1574"/>
      <c r="C36" s="1574"/>
      <c r="D36" s="1577"/>
      <c r="E36" s="1577"/>
      <c r="F36" s="1577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</row>
    <row r="37" spans="1:18" ht="14.25">
      <c r="A37" s="1575" t="s">
        <v>416</v>
      </c>
      <c r="B37" s="1574"/>
      <c r="C37" s="1574"/>
      <c r="D37" s="1577">
        <f>SUM(D33:D35)</f>
        <v>0</v>
      </c>
      <c r="E37" s="1577">
        <f>SUM(E33:E35)</f>
        <v>0</v>
      </c>
      <c r="F37" s="1577">
        <f>SUM(F33:F35)</f>
        <v>0</v>
      </c>
      <c r="G37" s="1577"/>
      <c r="H37" s="1577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</row>
    <row r="38" spans="1:18" ht="14.25">
      <c r="A38" s="1574"/>
      <c r="B38" s="1574"/>
      <c r="C38" s="1574"/>
      <c r="D38" s="1574"/>
      <c r="E38" s="1574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</row>
    <row r="39" spans="1:18" ht="14.25">
      <c r="A39" s="1574"/>
      <c r="B39" s="1574"/>
      <c r="C39" s="1574"/>
      <c r="D39" s="1574"/>
      <c r="E39" s="1574"/>
      <c r="F39" s="1574"/>
      <c r="G39" s="1574"/>
      <c r="H39" s="1574"/>
      <c r="I39" s="1574"/>
      <c r="J39" s="1574"/>
      <c r="K39" s="1574"/>
      <c r="L39" s="1574"/>
      <c r="M39" s="1574"/>
      <c r="N39" s="1574"/>
      <c r="O39" s="1574"/>
      <c r="P39" s="1574"/>
      <c r="Q39" s="1574"/>
      <c r="R39" s="1574"/>
    </row>
    <row r="40" spans="1:18" ht="15.4" thickBot="1">
      <c r="A40" s="1470" t="s">
        <v>436</v>
      </c>
      <c r="B40" s="1574"/>
      <c r="C40" s="1574"/>
      <c r="D40" s="1574"/>
      <c r="E40" s="1577"/>
      <c r="F40" s="1574"/>
      <c r="G40" s="1574"/>
      <c r="H40" s="1574"/>
      <c r="I40" s="1574"/>
      <c r="J40" s="1574"/>
      <c r="K40" s="1574"/>
      <c r="L40" s="1574"/>
      <c r="M40" s="1574"/>
      <c r="N40" s="1574"/>
      <c r="O40" s="1574"/>
      <c r="P40" s="1574"/>
      <c r="Q40" s="1574"/>
      <c r="R40" s="1574"/>
    </row>
    <row r="41" spans="1:18" ht="14.65" thickBot="1">
      <c r="A41" s="1594"/>
      <c r="B41" s="1574"/>
      <c r="C41" s="1574"/>
      <c r="D41" s="1578" t="s">
        <v>370</v>
      </c>
      <c r="E41" s="1595" t="s">
        <v>1814</v>
      </c>
      <c r="F41" s="1580" t="s">
        <v>418</v>
      </c>
      <c r="G41" s="1579" t="s">
        <v>375</v>
      </c>
      <c r="H41" s="1580" t="s">
        <v>379</v>
      </c>
      <c r="I41" s="1580" t="s">
        <v>380</v>
      </c>
      <c r="J41" s="1580" t="s">
        <v>381</v>
      </c>
      <c r="K41" s="1580" t="s">
        <v>382</v>
      </c>
      <c r="L41" s="1579" t="s">
        <v>139</v>
      </c>
      <c r="M41" s="1579" t="s">
        <v>1810</v>
      </c>
      <c r="N41" s="1574"/>
      <c r="O41" s="1574"/>
      <c r="P41" s="1574"/>
      <c r="Q41" s="1574"/>
      <c r="R41" s="1574"/>
    </row>
    <row r="42" spans="1:18" ht="14.25">
      <c r="A42" s="1610" t="s">
        <v>1950</v>
      </c>
      <c r="B42" s="1574"/>
      <c r="C42" s="1574"/>
      <c r="D42" s="1611">
        <v>2500000</v>
      </c>
      <c r="E42" s="1612">
        <v>0</v>
      </c>
      <c r="F42" s="1613">
        <v>2500000</v>
      </c>
      <c r="G42" s="1614" t="s">
        <v>389</v>
      </c>
      <c r="H42" s="1615" t="s">
        <v>1951</v>
      </c>
      <c r="I42" s="1615" t="s">
        <v>387</v>
      </c>
      <c r="J42" s="1615" t="s">
        <v>387</v>
      </c>
      <c r="K42" s="1615" t="s">
        <v>387</v>
      </c>
      <c r="L42" s="1615" t="s">
        <v>391</v>
      </c>
      <c r="M42" s="1614">
        <v>2023</v>
      </c>
      <c r="N42" s="1574"/>
      <c r="O42" s="1574"/>
      <c r="P42" s="1574"/>
      <c r="Q42" s="1574"/>
      <c r="R42" s="1574"/>
    </row>
    <row r="43" spans="1:18" ht="14.25">
      <c r="A43" s="1610" t="s">
        <v>1815</v>
      </c>
      <c r="B43" s="1574"/>
      <c r="C43" s="1574"/>
      <c r="D43" s="1611">
        <v>110000000</v>
      </c>
      <c r="E43" s="1612">
        <f>0.65*D43</f>
        <v>71500000</v>
      </c>
      <c r="F43" s="1613">
        <f>D43-E43</f>
        <v>38500000</v>
      </c>
      <c r="G43" s="1614" t="s">
        <v>1816</v>
      </c>
      <c r="H43" s="1615" t="s">
        <v>1817</v>
      </c>
      <c r="I43" s="1615" t="s">
        <v>387</v>
      </c>
      <c r="J43" s="1615" t="s">
        <v>387</v>
      </c>
      <c r="K43" s="1615" t="s">
        <v>387</v>
      </c>
      <c r="L43" s="1615" t="s">
        <v>1818</v>
      </c>
      <c r="M43" s="1614">
        <v>2023</v>
      </c>
      <c r="N43" s="1574"/>
      <c r="O43" s="1574"/>
      <c r="P43" s="1574"/>
      <c r="Q43" s="1574"/>
      <c r="R43" s="1574"/>
    </row>
    <row r="44" spans="1:18" ht="14.25">
      <c r="A44" s="1610" t="s">
        <v>438</v>
      </c>
      <c r="B44" s="1574"/>
      <c r="C44" s="1574"/>
      <c r="D44" s="1611">
        <v>2000000</v>
      </c>
      <c r="E44" s="1612">
        <f>0.5*D44</f>
        <v>1000000</v>
      </c>
      <c r="F44" s="1613">
        <f>D44-E44</f>
        <v>1000000</v>
      </c>
      <c r="G44" s="1614" t="s">
        <v>389</v>
      </c>
      <c r="H44" s="1615" t="s">
        <v>1819</v>
      </c>
      <c r="I44" s="1615" t="s">
        <v>391</v>
      </c>
      <c r="J44" s="1615" t="s">
        <v>391</v>
      </c>
      <c r="K44" s="1615" t="s">
        <v>391</v>
      </c>
      <c r="L44" s="1615" t="s">
        <v>391</v>
      </c>
      <c r="M44" s="1614" t="s">
        <v>1820</v>
      </c>
      <c r="N44" s="1574"/>
      <c r="O44" s="1574"/>
      <c r="P44" s="1574"/>
      <c r="Q44" s="1574"/>
      <c r="R44" s="1574"/>
    </row>
    <row r="45" spans="1:18" ht="14.25">
      <c r="A45" s="1610" t="s">
        <v>1821</v>
      </c>
      <c r="B45" s="1591"/>
      <c r="C45" s="1591"/>
      <c r="D45" s="1611">
        <v>5000000</v>
      </c>
      <c r="E45" s="1612">
        <v>0</v>
      </c>
      <c r="F45" s="1613">
        <f>D45-E45</f>
        <v>5000000</v>
      </c>
      <c r="G45" s="1614" t="s">
        <v>389</v>
      </c>
      <c r="H45" s="1615" t="s">
        <v>1822</v>
      </c>
      <c r="I45" s="1615" t="s">
        <v>387</v>
      </c>
      <c r="J45" s="1615" t="s">
        <v>391</v>
      </c>
      <c r="K45" s="1615" t="s">
        <v>391</v>
      </c>
      <c r="L45" s="1615" t="s">
        <v>391</v>
      </c>
      <c r="M45" s="1614" t="s">
        <v>1820</v>
      </c>
      <c r="N45" s="1575"/>
      <c r="O45" s="1575"/>
      <c r="P45" s="1575"/>
      <c r="Q45" s="1575"/>
      <c r="R45" s="1575"/>
    </row>
    <row r="46" spans="1:18" ht="14.25">
      <c r="A46" s="1610" t="s">
        <v>1823</v>
      </c>
      <c r="B46" s="1574"/>
      <c r="C46" s="1574"/>
      <c r="D46" s="1611">
        <v>3000000</v>
      </c>
      <c r="E46" s="1612">
        <v>1500000</v>
      </c>
      <c r="F46" s="1613">
        <f>D46-E46</f>
        <v>1500000</v>
      </c>
      <c r="G46" s="1614" t="s">
        <v>389</v>
      </c>
      <c r="H46" s="1615" t="s">
        <v>1819</v>
      </c>
      <c r="I46" s="1615" t="s">
        <v>387</v>
      </c>
      <c r="J46" s="1615" t="s">
        <v>387</v>
      </c>
      <c r="K46" s="1615" t="s">
        <v>387</v>
      </c>
      <c r="L46" s="1615" t="s">
        <v>387</v>
      </c>
      <c r="M46" s="1614" t="s">
        <v>1820</v>
      </c>
      <c r="N46" s="1574"/>
      <c r="O46" s="1574"/>
      <c r="P46" s="1574"/>
      <c r="Q46" s="1574"/>
      <c r="R46" s="1574"/>
    </row>
    <row r="47" spans="1:18" ht="14.25">
      <c r="A47" s="1610" t="s">
        <v>1952</v>
      </c>
      <c r="B47" s="1574"/>
      <c r="C47" s="1574"/>
      <c r="D47" s="1616">
        <v>1500000</v>
      </c>
      <c r="E47" s="1617">
        <f>F47</f>
        <v>750000</v>
      </c>
      <c r="F47" s="1618">
        <f>D47/2</f>
        <v>750000</v>
      </c>
      <c r="G47" s="1619" t="s">
        <v>389</v>
      </c>
      <c r="H47" s="1615"/>
      <c r="I47" s="1615"/>
      <c r="J47" s="1615"/>
      <c r="K47" s="1615"/>
      <c r="L47" s="1615"/>
      <c r="M47" s="1614" t="s">
        <v>1820</v>
      </c>
      <c r="N47" s="1574"/>
      <c r="O47" s="1574"/>
      <c r="P47" s="1574"/>
      <c r="Q47" s="1574"/>
      <c r="R47" s="1574"/>
    </row>
    <row r="48" spans="1:18" ht="14.25">
      <c r="A48" s="1610" t="s">
        <v>1663</v>
      </c>
      <c r="B48" s="1574"/>
      <c r="C48" s="1574"/>
      <c r="D48" s="1611">
        <v>130000000</v>
      </c>
      <c r="E48" s="1612">
        <v>60000000</v>
      </c>
      <c r="F48" s="1613">
        <v>70000000</v>
      </c>
      <c r="G48" s="1614" t="s">
        <v>389</v>
      </c>
      <c r="H48" s="1615"/>
      <c r="I48" s="1615" t="s">
        <v>391</v>
      </c>
      <c r="J48" s="1615" t="s">
        <v>391</v>
      </c>
      <c r="K48" s="1615" t="s">
        <v>391</v>
      </c>
      <c r="L48" s="1615" t="s">
        <v>391</v>
      </c>
      <c r="M48" s="1614">
        <v>2024</v>
      </c>
      <c r="N48" s="1574"/>
      <c r="O48" s="1574"/>
      <c r="P48" s="1574"/>
      <c r="Q48" s="1574"/>
      <c r="R48" s="1574"/>
    </row>
    <row r="49" spans="1:18" ht="14.65" thickBot="1">
      <c r="A49" s="1620" t="s">
        <v>440</v>
      </c>
      <c r="B49" s="1574"/>
      <c r="C49" s="1574"/>
      <c r="D49" s="1621">
        <v>7000000</v>
      </c>
      <c r="E49" s="1622">
        <f>0.5*D49</f>
        <v>3500000</v>
      </c>
      <c r="F49" s="1623">
        <f>D49-E49</f>
        <v>3500000</v>
      </c>
      <c r="G49" s="1624" t="s">
        <v>389</v>
      </c>
      <c r="H49" s="1615" t="s">
        <v>432</v>
      </c>
      <c r="I49" s="1615" t="s">
        <v>387</v>
      </c>
      <c r="J49" s="1615" t="s">
        <v>387</v>
      </c>
      <c r="K49" s="1615" t="s">
        <v>387</v>
      </c>
      <c r="L49" s="1615" t="s">
        <v>387</v>
      </c>
      <c r="M49" s="1614" t="s">
        <v>1820</v>
      </c>
      <c r="N49" s="1574"/>
      <c r="O49" s="1574"/>
      <c r="P49" s="1574"/>
      <c r="Q49" s="1574"/>
      <c r="R49" s="1574"/>
    </row>
    <row r="50" spans="1:18" ht="14.25">
      <c r="A50" s="1574"/>
      <c r="B50" s="1574"/>
      <c r="C50" s="1574"/>
      <c r="D50" s="1577"/>
      <c r="E50" s="1577"/>
      <c r="F50" s="1577"/>
      <c r="G50" s="1574"/>
      <c r="H50" s="1574"/>
      <c r="I50" s="1574"/>
      <c r="J50" s="1574"/>
      <c r="K50" s="1574"/>
      <c r="L50" s="1574"/>
      <c r="M50" s="1574"/>
      <c r="N50" s="1574"/>
      <c r="O50" s="1574"/>
      <c r="P50" s="1574"/>
      <c r="Q50" s="1574"/>
      <c r="R50" s="1574"/>
    </row>
    <row r="51" spans="1:18" ht="14.25">
      <c r="A51" s="1575" t="s">
        <v>416</v>
      </c>
      <c r="B51" s="1574"/>
      <c r="C51" s="1574"/>
      <c r="D51" s="1577">
        <f>SUM(D42:D49)</f>
        <v>261000000</v>
      </c>
      <c r="E51" s="1577">
        <f>SUM(E42:E49)</f>
        <v>138250000</v>
      </c>
      <c r="F51" s="1577">
        <f>SUM(F42:F49)</f>
        <v>122750000</v>
      </c>
      <c r="G51" s="1577"/>
      <c r="H51" s="1574"/>
      <c r="I51" s="1574"/>
      <c r="J51" s="1574"/>
      <c r="K51" s="1574"/>
      <c r="L51" s="1574"/>
      <c r="M51" s="1574"/>
      <c r="N51" s="1574"/>
      <c r="O51" s="1574"/>
      <c r="P51" s="1574"/>
      <c r="Q51" s="1574"/>
      <c r="R51" s="1574"/>
    </row>
    <row r="52" spans="1:18" ht="14.25">
      <c r="A52" s="1574"/>
      <c r="B52" s="1574"/>
      <c r="C52" s="1574"/>
      <c r="D52" s="1574"/>
      <c r="E52" s="1574"/>
      <c r="F52" s="1574"/>
      <c r="G52" s="1574"/>
      <c r="H52" s="1574"/>
      <c r="I52" s="1574"/>
      <c r="J52" s="1574"/>
      <c r="K52" s="1574"/>
      <c r="L52" s="1574"/>
      <c r="M52" s="1574"/>
      <c r="N52" s="1574"/>
      <c r="O52" s="1574"/>
      <c r="P52" s="1574"/>
      <c r="Q52" s="1574"/>
      <c r="R52" s="1574"/>
    </row>
    <row r="53" spans="1:18" ht="14.25">
      <c r="A53" s="1574"/>
      <c r="B53" s="1574"/>
      <c r="C53" s="1574"/>
      <c r="D53" s="1574"/>
      <c r="E53" s="1574"/>
      <c r="F53" s="1574"/>
      <c r="G53" s="1574"/>
      <c r="H53" s="1574"/>
      <c r="I53" s="1574"/>
      <c r="J53" s="1574"/>
      <c r="K53" s="1574"/>
      <c r="L53" s="1574"/>
      <c r="M53" s="1574"/>
      <c r="N53" s="1574"/>
      <c r="O53" s="1574"/>
      <c r="P53" s="1574"/>
      <c r="Q53" s="1574"/>
      <c r="R53" s="1574"/>
    </row>
    <row r="54" spans="1:18" ht="15.4" thickBot="1">
      <c r="A54" s="1470" t="s">
        <v>441</v>
      </c>
      <c r="B54" s="1574"/>
      <c r="C54" s="1574"/>
      <c r="D54" s="1574"/>
      <c r="E54" s="1577"/>
      <c r="F54" s="1574"/>
      <c r="G54" s="1574"/>
      <c r="H54" s="1574"/>
      <c r="I54" s="1574"/>
      <c r="J54" s="1574"/>
      <c r="K54" s="1574"/>
      <c r="L54" s="1574"/>
      <c r="M54" s="1574"/>
      <c r="N54" s="1574"/>
      <c r="O54" s="1574"/>
      <c r="P54" s="1574"/>
      <c r="Q54" s="1574"/>
      <c r="R54" s="1574"/>
    </row>
    <row r="55" spans="1:18" ht="14.65" thickBot="1">
      <c r="A55" s="1594"/>
      <c r="B55" s="1574"/>
      <c r="C55" s="1574"/>
      <c r="D55" s="1578" t="s">
        <v>370</v>
      </c>
      <c r="E55" s="1595" t="s">
        <v>427</v>
      </c>
      <c r="F55" s="1580" t="s">
        <v>418</v>
      </c>
      <c r="G55" s="1579" t="s">
        <v>375</v>
      </c>
      <c r="H55" s="1580" t="s">
        <v>379</v>
      </c>
      <c r="I55" s="1580" t="s">
        <v>380</v>
      </c>
      <c r="J55" s="1580" t="s">
        <v>381</v>
      </c>
      <c r="K55" s="1580" t="s">
        <v>382</v>
      </c>
      <c r="L55" s="1579" t="s">
        <v>139</v>
      </c>
      <c r="M55" s="1579" t="s">
        <v>1810</v>
      </c>
      <c r="N55" s="1574"/>
      <c r="O55" s="1574"/>
      <c r="P55" s="1574"/>
      <c r="Q55" s="1574"/>
      <c r="R55" s="1574"/>
    </row>
    <row r="56" spans="1:18" ht="14.25">
      <c r="A56" s="1625" t="s">
        <v>1824</v>
      </c>
      <c r="B56" s="1574"/>
      <c r="C56" s="1574"/>
      <c r="D56" s="1626">
        <v>35000000</v>
      </c>
      <c r="E56" s="1627">
        <v>12000000</v>
      </c>
      <c r="F56" s="1628">
        <f>D56-E56</f>
        <v>23000000</v>
      </c>
      <c r="G56" s="1629" t="s">
        <v>389</v>
      </c>
      <c r="H56" s="1630" t="s">
        <v>1918</v>
      </c>
      <c r="I56" s="1630" t="s">
        <v>387</v>
      </c>
      <c r="J56" s="1630" t="s">
        <v>387</v>
      </c>
      <c r="K56" s="1630" t="s">
        <v>387</v>
      </c>
      <c r="L56" s="1630" t="s">
        <v>387</v>
      </c>
      <c r="M56" s="1629">
        <v>2023</v>
      </c>
      <c r="N56" s="1574"/>
      <c r="O56" s="1574"/>
      <c r="P56" s="1574"/>
      <c r="Q56" s="1574"/>
      <c r="R56" s="1574"/>
    </row>
    <row r="57" spans="1:18" ht="14.25">
      <c r="A57" s="1625" t="s">
        <v>1827</v>
      </c>
      <c r="B57" s="1574"/>
      <c r="C57" s="1574"/>
      <c r="D57" s="1626">
        <v>32000000</v>
      </c>
      <c r="E57" s="1627">
        <v>15505276</v>
      </c>
      <c r="F57" s="1628">
        <f>D57-E57</f>
        <v>16494724</v>
      </c>
      <c r="G57" s="1629" t="s">
        <v>389</v>
      </c>
      <c r="H57" s="1630" t="s">
        <v>1825</v>
      </c>
      <c r="I57" s="1630" t="s">
        <v>1953</v>
      </c>
      <c r="J57" s="1630" t="s">
        <v>391</v>
      </c>
      <c r="K57" s="1630" t="s">
        <v>1826</v>
      </c>
      <c r="L57" s="1630" t="s">
        <v>391</v>
      </c>
      <c r="M57" s="1629">
        <v>2023</v>
      </c>
      <c r="N57" s="1574"/>
      <c r="O57" s="1574"/>
      <c r="P57" s="1574"/>
      <c r="Q57" s="1574"/>
      <c r="R57" s="1574"/>
    </row>
    <row r="58" spans="1:18" ht="14.25">
      <c r="A58" s="1625" t="s">
        <v>445</v>
      </c>
      <c r="B58" s="1574"/>
      <c r="C58" s="1574"/>
      <c r="D58" s="1626">
        <v>20400000</v>
      </c>
      <c r="E58" s="1627">
        <v>7500000</v>
      </c>
      <c r="F58" s="1628">
        <f>D58-E58</f>
        <v>12900000</v>
      </c>
      <c r="G58" s="1629" t="s">
        <v>389</v>
      </c>
      <c r="H58" s="1630" t="s">
        <v>1919</v>
      </c>
      <c r="I58" s="1630" t="s">
        <v>387</v>
      </c>
      <c r="J58" s="1630" t="s">
        <v>387</v>
      </c>
      <c r="K58" s="1630" t="s">
        <v>387</v>
      </c>
      <c r="L58" s="1630" t="s">
        <v>387</v>
      </c>
      <c r="M58" s="1629">
        <v>2023</v>
      </c>
      <c r="N58" s="1574"/>
      <c r="O58" s="1574"/>
      <c r="P58" s="1574"/>
      <c r="Q58" s="1574"/>
      <c r="R58" s="1574"/>
    </row>
    <row r="59" spans="1:18" ht="14.25">
      <c r="A59" s="1625" t="s">
        <v>1954</v>
      </c>
      <c r="B59" s="1574"/>
      <c r="C59" s="1574"/>
      <c r="D59" s="1626">
        <v>35000000</v>
      </c>
      <c r="E59" s="1627">
        <v>19250000</v>
      </c>
      <c r="F59" s="1628">
        <f>D59-E59</f>
        <v>15750000</v>
      </c>
      <c r="G59" s="1629" t="s">
        <v>389</v>
      </c>
      <c r="H59" s="1630" t="s">
        <v>1955</v>
      </c>
      <c r="I59" s="1630" t="s">
        <v>387</v>
      </c>
      <c r="J59" s="1630" t="s">
        <v>387</v>
      </c>
      <c r="K59" s="1630" t="s">
        <v>387</v>
      </c>
      <c r="L59" s="1630" t="s">
        <v>387</v>
      </c>
      <c r="M59" s="1629">
        <v>2024</v>
      </c>
      <c r="N59" s="1574"/>
      <c r="O59" s="1574"/>
      <c r="P59" s="1574"/>
      <c r="Q59" s="1574"/>
      <c r="R59" s="1574"/>
    </row>
    <row r="60" spans="1:18" ht="14.25">
      <c r="A60" s="1631" t="s">
        <v>1956</v>
      </c>
      <c r="B60" s="1574"/>
      <c r="C60" s="1574"/>
      <c r="D60" s="1632">
        <v>2000000</v>
      </c>
      <c r="E60" s="1627">
        <v>0</v>
      </c>
      <c r="F60" s="1628">
        <v>2000000</v>
      </c>
      <c r="G60" s="1629" t="s">
        <v>389</v>
      </c>
      <c r="H60" s="1630"/>
      <c r="I60" s="1630" t="s">
        <v>391</v>
      </c>
      <c r="J60" s="1631" t="s">
        <v>391</v>
      </c>
      <c r="K60" s="1631" t="s">
        <v>391</v>
      </c>
      <c r="L60" s="1631" t="s">
        <v>391</v>
      </c>
      <c r="M60" s="1631">
        <v>2024</v>
      </c>
      <c r="N60" s="1574"/>
      <c r="O60" s="1574"/>
      <c r="P60" s="1574"/>
      <c r="Q60" s="1574"/>
      <c r="R60" s="1574"/>
    </row>
    <row r="61" spans="1:18" ht="14.25">
      <c r="A61" s="1631" t="s">
        <v>1957</v>
      </c>
      <c r="B61" s="1574"/>
      <c r="C61" s="1574"/>
      <c r="D61" s="1632">
        <v>2500000</v>
      </c>
      <c r="E61" s="1632">
        <v>0</v>
      </c>
      <c r="F61" s="1632">
        <v>2500000</v>
      </c>
      <c r="G61" s="1629" t="s">
        <v>389</v>
      </c>
      <c r="H61" s="1631" t="s">
        <v>1958</v>
      </c>
      <c r="I61" s="1631" t="s">
        <v>391</v>
      </c>
      <c r="J61" s="1631" t="s">
        <v>391</v>
      </c>
      <c r="K61" s="1631" t="s">
        <v>391</v>
      </c>
      <c r="L61" s="1631" t="s">
        <v>391</v>
      </c>
      <c r="M61" s="1631">
        <v>2023</v>
      </c>
      <c r="N61" s="1574"/>
      <c r="O61" s="1574"/>
      <c r="P61" s="1574"/>
      <c r="Q61" s="1574"/>
      <c r="R61" s="1574"/>
    </row>
    <row r="62" spans="1:18" ht="14.25">
      <c r="A62" s="1574"/>
      <c r="B62" s="1574"/>
      <c r="C62" s="1574"/>
      <c r="D62" s="1577"/>
      <c r="E62" s="1577"/>
      <c r="F62" s="1577"/>
      <c r="G62" s="1574"/>
      <c r="H62" s="1574"/>
      <c r="I62" s="1574"/>
      <c r="J62" s="1574"/>
      <c r="K62" s="1574"/>
      <c r="L62" s="1574"/>
      <c r="M62" s="1574"/>
      <c r="N62" s="1574"/>
      <c r="O62" s="1574"/>
      <c r="P62" s="1574"/>
      <c r="Q62" s="1574"/>
      <c r="R62" s="1574"/>
    </row>
    <row r="63" spans="1:18" ht="14.25">
      <c r="A63" s="1575" t="s">
        <v>416</v>
      </c>
      <c r="B63" s="1574"/>
      <c r="C63" s="1574"/>
      <c r="D63" s="1577">
        <f>SUM(D56:D61)</f>
        <v>126900000</v>
      </c>
      <c r="E63" s="1577">
        <f>SUM(E56:E61)</f>
        <v>54255276</v>
      </c>
      <c r="F63" s="1577">
        <f>SUM(F56:F61)</f>
        <v>72644724</v>
      </c>
      <c r="G63" s="1577"/>
      <c r="H63" s="1574"/>
      <c r="I63" s="1574"/>
      <c r="J63" s="1574"/>
      <c r="K63" s="1574"/>
      <c r="L63" s="1574"/>
      <c r="M63" s="1574"/>
      <c r="N63" s="1574"/>
      <c r="O63" s="1574"/>
      <c r="P63" s="1574"/>
      <c r="Q63" s="1574"/>
      <c r="R63" s="1574"/>
    </row>
    <row r="64" spans="1:18" ht="14.25">
      <c r="A64" s="1575"/>
      <c r="B64" s="1574"/>
      <c r="C64" s="1574"/>
      <c r="D64" s="1577"/>
      <c r="E64" s="1577"/>
      <c r="F64" s="1577"/>
      <c r="G64" s="1577"/>
      <c r="H64" s="1574"/>
      <c r="I64" s="1574"/>
      <c r="J64" s="1574"/>
      <c r="K64" s="1574"/>
      <c r="L64" s="1574"/>
      <c r="M64" s="1574"/>
      <c r="N64" s="1574"/>
      <c r="O64" s="1574"/>
      <c r="P64" s="1574"/>
      <c r="Q64" s="1574"/>
      <c r="R64" s="1574"/>
    </row>
    <row r="65" spans="1:18" ht="14.25">
      <c r="A65" s="1574"/>
      <c r="B65" s="1633" t="s">
        <v>447</v>
      </c>
      <c r="C65" s="1633"/>
      <c r="D65" s="1574"/>
      <c r="E65" s="1574"/>
      <c r="F65" s="1574"/>
      <c r="G65" s="1574"/>
      <c r="H65" s="1574"/>
      <c r="I65" s="1574"/>
      <c r="J65" s="1574"/>
      <c r="K65" s="1574"/>
      <c r="L65" s="1574"/>
      <c r="M65" s="1574"/>
      <c r="N65" s="1574"/>
      <c r="O65" s="1574"/>
      <c r="P65" s="1574"/>
      <c r="Q65" s="1574"/>
      <c r="R65" s="1574"/>
    </row>
    <row r="66" spans="1:18" ht="14.25">
      <c r="A66" s="1575" t="s">
        <v>449</v>
      </c>
      <c r="B66" s="1577">
        <f>D18+D29+D37+D51+D63</f>
        <v>498990300</v>
      </c>
      <c r="C66" s="1577"/>
      <c r="D66" s="1577"/>
      <c r="E66" s="1577"/>
      <c r="F66" s="1577"/>
      <c r="G66" s="1577"/>
      <c r="H66" s="1574"/>
      <c r="I66" s="1574"/>
      <c r="J66" s="1574"/>
      <c r="K66" s="1574"/>
      <c r="L66" s="1574"/>
      <c r="M66" s="1574"/>
      <c r="N66" s="1574"/>
      <c r="O66" s="1574"/>
      <c r="P66" s="1574"/>
      <c r="Q66" s="1574"/>
      <c r="R66" s="1574"/>
    </row>
    <row r="67" spans="1:18" ht="14.25">
      <c r="A67" s="1575" t="s">
        <v>450</v>
      </c>
      <c r="B67" s="1577">
        <f>E18+E29+E37+E51+E63</f>
        <v>272535276</v>
      </c>
      <c r="C67" s="1577"/>
      <c r="D67" s="1574"/>
      <c r="E67" s="1574"/>
      <c r="F67" s="1577"/>
      <c r="G67" s="1574"/>
      <c r="H67" s="1574"/>
      <c r="I67" s="1574"/>
      <c r="J67" s="1574"/>
      <c r="K67" s="1574"/>
      <c r="L67" s="1574"/>
      <c r="M67" s="1574"/>
      <c r="N67" s="1574"/>
      <c r="O67" s="1574"/>
      <c r="P67" s="1574"/>
      <c r="Q67" s="1574"/>
      <c r="R67" s="1574"/>
    </row>
    <row r="68" spans="1:18" ht="14.25">
      <c r="A68" s="1575" t="s">
        <v>451</v>
      </c>
      <c r="B68" s="1577">
        <f>B66-B67</f>
        <v>226455024</v>
      </c>
      <c r="C68" s="1577"/>
      <c r="D68" s="1574"/>
      <c r="E68" s="1574"/>
      <c r="F68" s="1574"/>
      <c r="G68" s="1574"/>
      <c r="H68" s="1574"/>
      <c r="I68" s="1574"/>
      <c r="J68" s="1574"/>
      <c r="K68" s="1574"/>
      <c r="L68" s="1574"/>
      <c r="M68" s="1574"/>
      <c r="N68" s="1574"/>
      <c r="O68" s="1574"/>
      <c r="P68" s="1574"/>
      <c r="Q68" s="1574"/>
      <c r="R68" s="1574"/>
    </row>
    <row r="69" spans="1:18" ht="14.25">
      <c r="A69" s="1634" t="s">
        <v>452</v>
      </c>
      <c r="B69" s="1635">
        <f>F18</f>
        <v>23990300</v>
      </c>
      <c r="C69" s="1635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1574"/>
    </row>
    <row r="70" spans="1:18" ht="14.25">
      <c r="A70" s="1634" t="s">
        <v>1828</v>
      </c>
      <c r="B70" s="1574"/>
      <c r="C70" s="1635">
        <f>F29</f>
        <v>7070000</v>
      </c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1574"/>
    </row>
    <row r="71" spans="1:18" ht="14.25">
      <c r="A71" s="1634" t="s">
        <v>454</v>
      </c>
      <c r="B71" s="1574"/>
      <c r="C71" s="1635">
        <f>F51</f>
        <v>122750000</v>
      </c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</row>
    <row r="72" spans="1:18" ht="14.25">
      <c r="A72" s="1634" t="s">
        <v>455</v>
      </c>
      <c r="B72" s="1574"/>
      <c r="C72" s="1635">
        <f>F63</f>
        <v>72644724</v>
      </c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</row>
    <row r="73" spans="1:18" ht="14.25">
      <c r="A73" s="1634" t="s">
        <v>456</v>
      </c>
      <c r="B73" s="1574"/>
      <c r="C73" s="1635">
        <f>F37</f>
        <v>0</v>
      </c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18" ht="14.25">
      <c r="A74" s="1574"/>
      <c r="B74" s="1574"/>
      <c r="C74" s="1574"/>
      <c r="D74" s="1574"/>
      <c r="E74" s="1574"/>
      <c r="F74" s="1574"/>
      <c r="G74" s="1574"/>
      <c r="H74" s="1574"/>
      <c r="I74" s="1574"/>
      <c r="J74" s="1574"/>
      <c r="K74" s="1574"/>
      <c r="L74" s="1574"/>
      <c r="M74" s="1574"/>
      <c r="N74" s="1574"/>
      <c r="O74" s="1574"/>
      <c r="P74" s="1574"/>
      <c r="Q74" s="1574"/>
      <c r="R74" s="1574"/>
    </row>
    <row r="75" spans="1:18" ht="14.25">
      <c r="A75" s="1575" t="s">
        <v>1829</v>
      </c>
      <c r="B75" s="1636">
        <f>15000000*4</f>
        <v>60000000</v>
      </c>
      <c r="C75" s="1577"/>
      <c r="D75" s="1574"/>
      <c r="E75" s="1574"/>
      <c r="F75" s="1574"/>
      <c r="G75" s="1574"/>
      <c r="H75" s="1574"/>
      <c r="I75" s="1574"/>
      <c r="J75" s="1574"/>
      <c r="K75" s="1574"/>
      <c r="L75" s="1574"/>
      <c r="M75" s="1574"/>
      <c r="N75" s="1574"/>
      <c r="O75" s="1574"/>
      <c r="P75" s="1574"/>
      <c r="Q75" s="1574"/>
      <c r="R75" s="1574"/>
    </row>
    <row r="76" spans="1:18" ht="14.25">
      <c r="A76" s="1574"/>
      <c r="B76" s="1574"/>
      <c r="C76" s="1574"/>
      <c r="D76" s="1574"/>
      <c r="E76" s="1574"/>
      <c r="F76" s="1574"/>
      <c r="G76" s="1574"/>
      <c r="H76" s="1574"/>
      <c r="I76" s="1574"/>
      <c r="J76" s="1574"/>
      <c r="K76" s="1574"/>
      <c r="L76" s="1574"/>
      <c r="M76" s="1574"/>
      <c r="N76" s="1574"/>
      <c r="O76" s="1574"/>
      <c r="P76" s="1574"/>
      <c r="Q76" s="1574"/>
      <c r="R76" s="1574"/>
    </row>
    <row r="77" spans="1:18" ht="14.25">
      <c r="A77" s="1575" t="s">
        <v>458</v>
      </c>
      <c r="B77" s="1636">
        <f>B68-SUM(B75:B75)</f>
        <v>166455024</v>
      </c>
      <c r="C77" s="1636"/>
      <c r="D77" s="1574"/>
      <c r="E77" s="1574"/>
      <c r="F77" s="1574"/>
      <c r="G77" s="1574"/>
      <c r="H77" s="1574"/>
      <c r="I77" s="1574"/>
      <c r="J77" s="1574"/>
      <c r="K77" s="1574"/>
      <c r="L77" s="1574"/>
      <c r="M77" s="1574"/>
      <c r="N77" s="1574"/>
      <c r="O77" s="1574"/>
      <c r="P77" s="1574"/>
      <c r="Q77" s="1574"/>
      <c r="R77" s="1574"/>
    </row>
    <row r="78" spans="1:18" ht="14.25">
      <c r="A78" s="1574"/>
      <c r="B78" s="1574"/>
      <c r="C78" s="1574"/>
      <c r="D78" s="1574"/>
      <c r="E78" s="1574"/>
      <c r="F78" s="1574"/>
      <c r="G78" s="1574"/>
      <c r="H78" s="1574"/>
      <c r="I78" s="1574"/>
      <c r="J78" s="1574"/>
      <c r="K78" s="1574"/>
      <c r="L78" s="1574"/>
      <c r="M78" s="1574"/>
      <c r="N78" s="1574"/>
      <c r="O78" s="1574"/>
      <c r="P78" s="1574"/>
      <c r="Q78" s="1574"/>
      <c r="R78" s="1574"/>
    </row>
    <row r="79" spans="1:18" ht="14.25">
      <c r="A79" s="1575" t="s">
        <v>459</v>
      </c>
      <c r="B79" s="1574"/>
      <c r="C79" s="1577"/>
      <c r="D79" s="1574"/>
      <c r="E79" s="1574"/>
      <c r="F79" s="1574"/>
      <c r="G79" s="1574"/>
      <c r="H79" s="1574"/>
      <c r="I79" s="1574"/>
      <c r="J79" s="1574"/>
      <c r="K79" s="1574"/>
      <c r="L79" s="1574"/>
      <c r="M79" s="1574"/>
      <c r="N79" s="1574"/>
      <c r="O79" s="1574"/>
      <c r="P79" s="1574"/>
      <c r="Q79" s="1574"/>
      <c r="R79" s="1574"/>
    </row>
    <row r="80" spans="1:18" ht="14.25">
      <c r="A80" s="1634" t="s">
        <v>460</v>
      </c>
      <c r="B80" s="1577">
        <v>40000000</v>
      </c>
      <c r="C80" s="1577"/>
      <c r="D80" s="1577"/>
      <c r="E80" s="1574"/>
      <c r="F80" s="1574"/>
      <c r="G80" s="1574"/>
      <c r="H80" s="1574"/>
      <c r="I80" s="1574"/>
      <c r="J80" s="1574"/>
      <c r="K80" s="1574"/>
      <c r="L80" s="1574"/>
      <c r="M80" s="1574"/>
      <c r="N80" s="1574"/>
      <c r="O80" s="1574"/>
      <c r="P80" s="1574"/>
      <c r="Q80" s="1574"/>
      <c r="R80" s="1574"/>
    </row>
    <row r="81" spans="1:18" ht="14.25">
      <c r="A81" s="1634" t="s">
        <v>1830</v>
      </c>
      <c r="B81" s="1577">
        <v>105000000</v>
      </c>
      <c r="C81" s="1577"/>
      <c r="D81" s="1574"/>
      <c r="E81" s="1574"/>
      <c r="F81" s="1574"/>
      <c r="G81" s="1574"/>
      <c r="H81" s="1574"/>
      <c r="I81" s="1574"/>
      <c r="J81" s="1574"/>
      <c r="K81" s="1574"/>
      <c r="L81" s="1574"/>
      <c r="M81" s="1574"/>
      <c r="N81" s="1574"/>
      <c r="O81" s="1574"/>
      <c r="P81" s="1574"/>
      <c r="Q81" s="1574"/>
      <c r="R81" s="1574"/>
    </row>
    <row r="82" spans="1:18" ht="14.25">
      <c r="A82" s="1634" t="s">
        <v>1831</v>
      </c>
      <c r="B82" s="1577">
        <v>36000000</v>
      </c>
      <c r="C82" s="1577"/>
      <c r="D82" s="1574"/>
      <c r="E82" s="1574"/>
      <c r="F82" s="1574"/>
      <c r="G82" s="1574"/>
      <c r="H82" s="1574"/>
      <c r="I82" s="1574"/>
      <c r="J82" s="1574"/>
      <c r="K82" s="1574"/>
      <c r="L82" s="1574"/>
      <c r="M82" s="1574"/>
      <c r="N82" s="1574"/>
      <c r="O82" s="1574"/>
      <c r="P82" s="1574"/>
      <c r="Q82" s="1574"/>
      <c r="R82" s="1574"/>
    </row>
    <row r="83" spans="1:18" ht="14.25">
      <c r="A83" s="1635"/>
      <c r="B83" s="1577"/>
      <c r="C83" s="1577"/>
      <c r="D83" s="1574"/>
      <c r="E83" s="1574"/>
      <c r="F83" s="1574"/>
      <c r="G83" s="1574"/>
      <c r="H83" s="1574"/>
      <c r="I83" s="1574"/>
      <c r="J83" s="1574"/>
      <c r="K83" s="1574"/>
      <c r="L83" s="1574"/>
      <c r="M83" s="1574"/>
      <c r="N83" s="1574"/>
      <c r="O83" s="1574"/>
      <c r="P83" s="1574"/>
      <c r="Q83" s="1574"/>
      <c r="R83" s="1574"/>
    </row>
    <row r="84" spans="1:18" ht="14.25">
      <c r="A84" s="1575" t="s">
        <v>464</v>
      </c>
      <c r="B84" s="1636">
        <f>SUM(B80:B82)</f>
        <v>181000000</v>
      </c>
      <c r="C84" s="1577"/>
      <c r="D84" s="1574"/>
      <c r="E84" s="1574"/>
      <c r="F84" s="1574"/>
      <c r="G84" s="1574"/>
      <c r="H84" s="1574"/>
      <c r="I84" s="1574"/>
      <c r="J84" s="1574"/>
      <c r="K84" s="1574"/>
      <c r="L84" s="1574"/>
      <c r="M84" s="1574"/>
      <c r="N84" s="1574"/>
      <c r="O84" s="1574"/>
      <c r="P84" s="1574"/>
      <c r="Q84" s="1574"/>
      <c r="R84" s="1574"/>
    </row>
    <row r="85" spans="1:18" ht="14.25">
      <c r="A85" s="1575"/>
      <c r="B85" s="1577"/>
      <c r="C85" s="1577"/>
      <c r="D85" s="1574"/>
      <c r="E85" s="1574"/>
      <c r="F85" s="1574"/>
      <c r="G85" s="1574"/>
      <c r="H85" s="1574"/>
      <c r="I85" s="1574"/>
      <c r="J85" s="1574"/>
      <c r="K85" s="1574"/>
      <c r="L85" s="1574"/>
      <c r="M85" s="1574"/>
      <c r="N85" s="1574"/>
      <c r="O85" s="1574"/>
      <c r="P85" s="1574"/>
      <c r="Q85" s="1574"/>
      <c r="R85" s="1574"/>
    </row>
    <row r="86" spans="1:18" ht="14.25">
      <c r="A86" s="1575" t="s">
        <v>1832</v>
      </c>
      <c r="B86" s="1636">
        <f>13500000+5500000</f>
        <v>19000000</v>
      </c>
      <c r="C86" s="1577"/>
      <c r="D86" s="1574"/>
      <c r="E86" s="1574"/>
      <c r="F86" s="1574"/>
      <c r="G86" s="1574"/>
      <c r="H86" s="1574"/>
      <c r="I86" s="1574"/>
      <c r="J86" s="1574"/>
      <c r="K86" s="1574"/>
      <c r="L86" s="1574"/>
      <c r="M86" s="1574"/>
      <c r="N86" s="1574"/>
      <c r="O86" s="1574"/>
      <c r="P86" s="1574"/>
      <c r="Q86" s="1574"/>
      <c r="R86" s="1574"/>
    </row>
    <row r="87" spans="1:18" ht="14.25">
      <c r="A87" s="1575"/>
      <c r="B87" s="1577"/>
      <c r="C87" s="1577"/>
      <c r="D87" s="1574"/>
      <c r="E87" s="1574"/>
      <c r="F87" s="1574"/>
      <c r="G87" s="1574"/>
      <c r="H87" s="1574"/>
      <c r="I87" s="1574"/>
      <c r="J87" s="1574"/>
      <c r="K87" s="1574"/>
      <c r="L87" s="1574"/>
      <c r="M87" s="1574"/>
      <c r="N87" s="1574"/>
      <c r="O87" s="1574"/>
      <c r="P87" s="1574"/>
      <c r="Q87" s="1574"/>
      <c r="R87" s="1574"/>
    </row>
    <row r="88" spans="1:18" ht="14.25">
      <c r="A88" s="1575" t="s">
        <v>1833</v>
      </c>
      <c r="B88" s="1636">
        <v>0</v>
      </c>
      <c r="C88" s="1577"/>
      <c r="D88" s="1574"/>
      <c r="E88" s="1574"/>
      <c r="F88" s="1574"/>
      <c r="G88" s="1574"/>
      <c r="H88" s="1574"/>
      <c r="I88" s="1574"/>
      <c r="J88" s="1574"/>
      <c r="K88" s="1574"/>
      <c r="L88" s="1574"/>
      <c r="M88" s="1574"/>
      <c r="N88" s="1574"/>
      <c r="O88" s="1574"/>
      <c r="P88" s="1574"/>
      <c r="Q88" s="1574"/>
      <c r="R88" s="1574"/>
    </row>
    <row r="89" spans="1:18" ht="14.25">
      <c r="A89" s="1574"/>
      <c r="B89" s="1577"/>
      <c r="C89" s="1577"/>
      <c r="D89" s="1574"/>
      <c r="E89" s="1574"/>
      <c r="F89" s="1574"/>
      <c r="G89" s="1574"/>
      <c r="H89" s="1574"/>
      <c r="I89" s="1574"/>
      <c r="J89" s="1574"/>
      <c r="K89" s="1574"/>
      <c r="L89" s="1574"/>
      <c r="M89" s="1574"/>
      <c r="N89" s="1574"/>
      <c r="O89" s="1574"/>
      <c r="P89" s="1574"/>
      <c r="Q89" s="1574"/>
      <c r="R89" s="1574"/>
    </row>
    <row r="90" spans="1:18" ht="14.25">
      <c r="A90" s="1575" t="s">
        <v>1834</v>
      </c>
      <c r="B90" s="1636">
        <v>4000000</v>
      </c>
      <c r="C90" s="1577"/>
      <c r="D90" s="1574"/>
      <c r="E90" s="1574"/>
      <c r="F90" s="1574"/>
      <c r="G90" s="1574"/>
      <c r="H90" s="1574"/>
      <c r="I90" s="1574"/>
      <c r="J90" s="1574"/>
      <c r="K90" s="1574"/>
      <c r="L90" s="1574"/>
      <c r="M90" s="1574"/>
      <c r="N90" s="1574"/>
      <c r="O90" s="1574"/>
      <c r="P90" s="1574"/>
      <c r="Q90" s="1574"/>
      <c r="R90" s="1574"/>
    </row>
    <row r="91" spans="1:18" ht="14.25">
      <c r="A91" s="1574"/>
      <c r="B91" s="1577"/>
      <c r="C91" s="1577"/>
      <c r="D91" s="1574"/>
      <c r="E91" s="1574"/>
      <c r="F91" s="1574"/>
      <c r="G91" s="1574"/>
      <c r="H91" s="1574"/>
      <c r="I91" s="1574"/>
      <c r="J91" s="1574"/>
      <c r="K91" s="1574"/>
      <c r="L91" s="1574"/>
      <c r="M91" s="1574"/>
      <c r="N91" s="1574"/>
      <c r="O91" s="1574"/>
      <c r="P91" s="1574"/>
      <c r="Q91" s="1574"/>
      <c r="R91" s="1574"/>
    </row>
    <row r="92" spans="1:18" ht="14.25">
      <c r="A92" s="1575" t="s">
        <v>1835</v>
      </c>
      <c r="B92" s="1636">
        <f>SUM(B84,B86,B88,B90)</f>
        <v>204000000</v>
      </c>
      <c r="C92" s="1574"/>
      <c r="D92" s="1574"/>
      <c r="E92" s="1574"/>
      <c r="F92" s="1574"/>
      <c r="G92" s="1574"/>
      <c r="H92" s="1574"/>
      <c r="I92" s="1574"/>
      <c r="J92" s="1574"/>
      <c r="K92" s="1574"/>
      <c r="L92" s="1574"/>
      <c r="M92" s="1574"/>
      <c r="N92" s="1574"/>
      <c r="O92" s="1574"/>
      <c r="P92" s="1574"/>
      <c r="Q92" s="1574"/>
      <c r="R92" s="1574"/>
    </row>
    <row r="93" spans="1:18" ht="14.25">
      <c r="A93" s="1575"/>
      <c r="B93" s="1577"/>
      <c r="C93" s="1574"/>
      <c r="D93" s="1574"/>
      <c r="E93" s="1574"/>
      <c r="F93" s="1574"/>
      <c r="G93" s="1574"/>
      <c r="H93" s="1574"/>
      <c r="I93" s="1574"/>
      <c r="J93" s="1574"/>
      <c r="K93" s="1574"/>
      <c r="L93" s="1574"/>
      <c r="M93" s="1574"/>
      <c r="N93" s="1574"/>
      <c r="O93" s="1574"/>
      <c r="P93" s="1574"/>
      <c r="Q93" s="1574"/>
      <c r="R93" s="1574"/>
    </row>
    <row r="94" spans="1:18" ht="21">
      <c r="A94" s="1637" t="s">
        <v>1836</v>
      </c>
      <c r="B94" s="1638">
        <f>B92-B77</f>
        <v>37544976</v>
      </c>
      <c r="C94" s="1574"/>
      <c r="D94" s="1574"/>
      <c r="E94" s="1574"/>
      <c r="F94" s="1574"/>
      <c r="G94" s="1574"/>
      <c r="H94" s="1574"/>
      <c r="I94" s="1574"/>
      <c r="J94" s="1574"/>
      <c r="K94" s="1574"/>
      <c r="L94" s="1574"/>
      <c r="M94" s="1574"/>
      <c r="N94" s="1574"/>
      <c r="O94" s="1574"/>
      <c r="P94" s="1574"/>
      <c r="Q94" s="1574"/>
      <c r="R94" s="1574"/>
    </row>
    <row r="95" spans="1:18" ht="14.25">
      <c r="A95" s="1574"/>
      <c r="B95" s="1574"/>
      <c r="C95" s="1574"/>
      <c r="D95" s="1574"/>
      <c r="E95" s="1574"/>
      <c r="F95" s="1574"/>
      <c r="G95" s="1574"/>
      <c r="H95" s="1574"/>
      <c r="I95" s="1574"/>
      <c r="J95" s="1574"/>
      <c r="K95" s="1574"/>
      <c r="L95" s="1574"/>
      <c r="M95" s="1574"/>
      <c r="N95" s="1574"/>
      <c r="O95" s="1574"/>
      <c r="P95" s="1574"/>
      <c r="Q95" s="1574"/>
      <c r="R95" s="1574"/>
    </row>
    <row r="96" spans="1:18" ht="21">
      <c r="A96" s="1637" t="s">
        <v>1959</v>
      </c>
      <c r="B96" s="1638">
        <v>126137552</v>
      </c>
      <c r="C96" s="1577"/>
      <c r="D96" s="1577"/>
      <c r="E96" s="1574"/>
      <c r="F96" s="1574"/>
      <c r="G96" s="1574"/>
      <c r="H96" s="1574"/>
      <c r="I96" s="1574"/>
      <c r="J96" s="1574"/>
      <c r="K96" s="1574"/>
      <c r="L96" s="1574"/>
      <c r="M96" s="1574"/>
      <c r="N96" s="1574"/>
      <c r="O96" s="1574"/>
      <c r="P96" s="1574"/>
      <c r="Q96" s="1574"/>
      <c r="R96" s="1574"/>
    </row>
    <row r="97" spans="1:18" ht="14.25">
      <c r="A97" s="1634" t="s">
        <v>1837</v>
      </c>
      <c r="B97" s="1635">
        <v>11818172</v>
      </c>
      <c r="C97" s="1635" t="s">
        <v>1838</v>
      </c>
      <c r="D97" s="1577"/>
      <c r="E97" s="1639"/>
      <c r="F97" s="1574"/>
      <c r="G97" s="1574"/>
      <c r="H97" s="1574"/>
      <c r="I97" s="1574"/>
      <c r="J97" s="1574"/>
      <c r="K97" s="1574"/>
      <c r="L97" s="1574"/>
      <c r="M97" s="1574"/>
      <c r="N97" s="1574"/>
      <c r="O97" s="1574"/>
      <c r="P97" s="1574"/>
      <c r="Q97" s="1574"/>
      <c r="R97" s="1574"/>
    </row>
    <row r="98" spans="1:18" ht="14.25">
      <c r="A98" s="1634" t="s">
        <v>1839</v>
      </c>
      <c r="B98" s="1635">
        <v>72938360</v>
      </c>
      <c r="C98" s="1635" t="s">
        <v>1840</v>
      </c>
      <c r="D98" s="1577"/>
      <c r="E98" s="1639"/>
      <c r="F98" s="1574"/>
      <c r="G98" s="1574"/>
      <c r="H98" s="1574"/>
      <c r="I98" s="1574"/>
      <c r="J98" s="1574"/>
      <c r="K98" s="1574"/>
      <c r="L98" s="1574"/>
      <c r="M98" s="1574"/>
      <c r="N98" s="1574"/>
      <c r="O98" s="1574"/>
      <c r="P98" s="1574"/>
      <c r="Q98" s="1574"/>
      <c r="R98" s="1574"/>
    </row>
    <row r="99" spans="1:18" ht="14.25">
      <c r="A99" s="1634" t="s">
        <v>1841</v>
      </c>
      <c r="B99" s="1635">
        <v>41381020</v>
      </c>
      <c r="C99" s="1635" t="s">
        <v>1842</v>
      </c>
      <c r="D99" s="1577"/>
      <c r="E99" s="1639"/>
      <c r="F99" s="1574"/>
      <c r="G99" s="1574"/>
      <c r="H99" s="1574"/>
      <c r="I99" s="1574"/>
      <c r="J99" s="1574"/>
      <c r="K99" s="1574"/>
      <c r="L99" s="1574"/>
      <c r="M99" s="1574"/>
      <c r="N99" s="1574"/>
      <c r="O99" s="1574"/>
      <c r="P99" s="1574"/>
      <c r="Q99" s="1574"/>
      <c r="R99" s="1574"/>
    </row>
    <row r="100" spans="1:18" ht="14.25">
      <c r="A100" s="1575"/>
      <c r="B100" s="1577"/>
      <c r="C100" s="1577"/>
      <c r="D100" s="1574"/>
      <c r="E100" s="1574"/>
      <c r="F100" s="1574"/>
      <c r="G100" s="1574"/>
      <c r="H100" s="1574"/>
      <c r="I100" s="1574"/>
      <c r="J100" s="1574"/>
      <c r="K100" s="1574"/>
      <c r="L100" s="1574"/>
      <c r="M100" s="1574"/>
      <c r="N100" s="1574"/>
      <c r="O100" s="1574"/>
      <c r="P100" s="1574"/>
      <c r="Q100" s="1574"/>
      <c r="R100" s="1574"/>
    </row>
    <row r="101" spans="1:18" ht="14.25" hidden="1">
      <c r="A101" s="1640" t="s">
        <v>1843</v>
      </c>
      <c r="B101" s="1641">
        <f>61000000</f>
        <v>61000000</v>
      </c>
      <c r="C101" s="1577"/>
      <c r="D101" s="1574"/>
      <c r="E101" s="1574"/>
      <c r="F101" s="1574"/>
      <c r="G101" s="1574"/>
      <c r="H101" s="1574"/>
      <c r="I101" s="1574"/>
      <c r="J101" s="1574"/>
      <c r="K101" s="1574"/>
      <c r="L101" s="1574"/>
      <c r="M101" s="1574"/>
      <c r="N101" s="1574"/>
      <c r="O101" s="1574"/>
      <c r="P101" s="1574"/>
      <c r="Q101" s="1574"/>
      <c r="R101" s="1574"/>
    </row>
    <row r="102" spans="1:18" ht="14.25" hidden="1">
      <c r="A102" s="1640"/>
      <c r="B102" s="1641"/>
      <c r="C102" s="1577"/>
      <c r="D102" s="1574"/>
      <c r="E102" s="1574"/>
      <c r="F102" s="1574"/>
      <c r="G102" s="1574"/>
      <c r="H102" s="1574"/>
      <c r="I102" s="1574"/>
      <c r="J102" s="1574"/>
      <c r="K102" s="1574"/>
      <c r="L102" s="1574"/>
      <c r="M102" s="1574"/>
      <c r="N102" s="1574"/>
      <c r="O102" s="1574"/>
      <c r="P102" s="1574"/>
      <c r="Q102" s="1574"/>
      <c r="R102" s="1574"/>
    </row>
    <row r="103" spans="1:18" ht="21" hidden="1">
      <c r="A103" s="1642" t="s">
        <v>1844</v>
      </c>
      <c r="B103" s="1643">
        <f>B96-B108</f>
        <v>43137552</v>
      </c>
      <c r="C103" s="1577"/>
      <c r="D103" s="1574"/>
      <c r="E103" s="1574"/>
      <c r="F103" s="1574"/>
      <c r="G103" s="1574"/>
      <c r="H103" s="1574"/>
      <c r="I103" s="1574"/>
      <c r="J103" s="1574"/>
      <c r="K103" s="1574"/>
      <c r="L103" s="1574"/>
      <c r="M103" s="1574"/>
      <c r="N103" s="1574"/>
      <c r="O103" s="1574"/>
      <c r="P103" s="1574"/>
      <c r="Q103" s="1574"/>
      <c r="R103" s="1574"/>
    </row>
    <row r="104" spans="1:18" ht="14.25" hidden="1">
      <c r="A104" s="1644" t="s">
        <v>1837</v>
      </c>
      <c r="B104" s="1645">
        <v>0</v>
      </c>
      <c r="C104" s="1577"/>
      <c r="D104" s="1574"/>
      <c r="E104" s="1574"/>
      <c r="F104" s="1574"/>
      <c r="G104" s="1574"/>
      <c r="H104" s="1574"/>
      <c r="I104" s="1574"/>
      <c r="J104" s="1574"/>
      <c r="K104" s="1574"/>
      <c r="L104" s="1574"/>
      <c r="M104" s="1574"/>
      <c r="N104" s="1574"/>
      <c r="O104" s="1574"/>
      <c r="P104" s="1574"/>
      <c r="Q104" s="1574"/>
      <c r="R104" s="1574"/>
    </row>
    <row r="105" spans="1:18" ht="14.25" hidden="1">
      <c r="A105" s="1644" t="s">
        <v>1839</v>
      </c>
      <c r="B105" s="1645">
        <v>65000000</v>
      </c>
      <c r="C105" s="1577"/>
      <c r="D105" s="1574"/>
      <c r="E105" s="1574"/>
      <c r="F105" s="1574"/>
      <c r="G105" s="1574"/>
      <c r="H105" s="1574"/>
      <c r="I105" s="1574"/>
      <c r="J105" s="1574"/>
      <c r="K105" s="1574"/>
      <c r="L105" s="1574"/>
      <c r="M105" s="1574"/>
      <c r="N105" s="1574"/>
      <c r="O105" s="1574"/>
      <c r="P105" s="1574"/>
      <c r="Q105" s="1574"/>
      <c r="R105" s="1574"/>
    </row>
    <row r="106" spans="1:18" ht="14.25" hidden="1">
      <c r="A106" s="1644" t="s">
        <v>1841</v>
      </c>
      <c r="B106" s="1645">
        <v>20000000</v>
      </c>
      <c r="C106" s="1577"/>
      <c r="D106" s="1574"/>
      <c r="E106" s="1574"/>
      <c r="F106" s="1574"/>
      <c r="G106" s="1574"/>
      <c r="H106" s="1574"/>
      <c r="I106" s="1574"/>
      <c r="J106" s="1574"/>
      <c r="K106" s="1574"/>
      <c r="L106" s="1574"/>
      <c r="M106" s="1574"/>
      <c r="N106" s="1574"/>
      <c r="O106" s="1574"/>
      <c r="P106" s="1574"/>
      <c r="Q106" s="1574"/>
      <c r="R106" s="1574"/>
    </row>
    <row r="107" spans="1:18" ht="14.25" hidden="1">
      <c r="A107" s="1646"/>
      <c r="B107" s="1641"/>
      <c r="C107" s="1577"/>
      <c r="D107" s="1574"/>
      <c r="E107" s="1574"/>
      <c r="F107" s="1574"/>
      <c r="G107" s="1574"/>
      <c r="H107" s="1574"/>
      <c r="I107" s="1574"/>
      <c r="J107" s="1574"/>
      <c r="K107" s="1574"/>
      <c r="L107" s="1574"/>
      <c r="M107" s="1574"/>
      <c r="N107" s="1574"/>
      <c r="O107" s="1574"/>
      <c r="P107" s="1574"/>
      <c r="Q107" s="1574"/>
      <c r="R107" s="1574"/>
    </row>
    <row r="108" spans="1:18" ht="14.25" hidden="1">
      <c r="A108" s="1640" t="s">
        <v>1843</v>
      </c>
      <c r="B108" s="1641">
        <v>83000000</v>
      </c>
      <c r="C108" s="1577"/>
      <c r="D108" s="1574"/>
      <c r="E108" s="1574"/>
      <c r="F108" s="1574"/>
      <c r="G108" s="1574"/>
      <c r="H108" s="1574"/>
      <c r="I108" s="1574"/>
      <c r="J108" s="1574"/>
      <c r="K108" s="1574"/>
      <c r="L108" s="1574"/>
      <c r="M108" s="1574"/>
      <c r="N108" s="1574"/>
      <c r="O108" s="1574"/>
      <c r="P108" s="1574"/>
      <c r="Q108" s="1574"/>
      <c r="R108" s="1574"/>
    </row>
    <row r="109" spans="1:18" ht="14.25">
      <c r="A109" s="1646" t="s">
        <v>1845</v>
      </c>
      <c r="B109" s="1646">
        <v>2024</v>
      </c>
      <c r="C109" s="1636"/>
      <c r="D109" s="1574"/>
      <c r="E109" s="1574"/>
      <c r="F109" s="1574"/>
      <c r="G109" s="1574"/>
      <c r="H109" s="1574"/>
      <c r="I109" s="1574"/>
      <c r="J109" s="1574"/>
      <c r="K109" s="1574"/>
      <c r="L109" s="1574"/>
      <c r="M109" s="1574"/>
      <c r="N109" s="1574"/>
      <c r="O109" s="1574"/>
      <c r="P109" s="1574"/>
      <c r="Q109" s="1574"/>
      <c r="R109" s="1574"/>
    </row>
    <row r="110" spans="1:18" ht="36">
      <c r="A110" s="1647" t="s">
        <v>1846</v>
      </c>
      <c r="B110" s="1574"/>
      <c r="C110" s="1574"/>
      <c r="D110" s="1574"/>
      <c r="E110" s="1574"/>
      <c r="F110" s="1574"/>
      <c r="G110" s="1574"/>
      <c r="H110" s="1574"/>
      <c r="I110" s="1574"/>
      <c r="J110" s="1574"/>
      <c r="K110" s="1574"/>
      <c r="L110" s="1574"/>
      <c r="M110" s="1574"/>
      <c r="N110" s="1574"/>
      <c r="O110" s="1574"/>
      <c r="P110" s="1574"/>
      <c r="Q110" s="1574"/>
      <c r="R110" s="1574"/>
    </row>
    <row r="111" spans="1:18" ht="36">
      <c r="A111" s="1647"/>
      <c r="B111" s="1574"/>
      <c r="C111" s="1574"/>
      <c r="D111" s="1574"/>
      <c r="E111" s="1574"/>
      <c r="F111" s="1574"/>
      <c r="G111" s="1574"/>
      <c r="H111" s="1574"/>
      <c r="I111" s="1574"/>
      <c r="J111" s="1574"/>
      <c r="K111" s="1574"/>
      <c r="L111" s="1574"/>
      <c r="M111" s="1574"/>
      <c r="N111" s="1574"/>
      <c r="O111" s="1574"/>
      <c r="P111" s="1574"/>
      <c r="Q111" s="1574"/>
      <c r="R111" s="1574"/>
    </row>
    <row r="112" spans="1:18" ht="18.399999999999999" thickBot="1">
      <c r="A112" s="1648" t="s">
        <v>367</v>
      </c>
      <c r="B112" s="1575"/>
      <c r="C112" s="1575"/>
      <c r="D112" s="1574"/>
      <c r="E112" s="1574"/>
      <c r="F112" s="1574"/>
      <c r="G112" s="1574"/>
      <c r="H112" s="1574"/>
      <c r="I112" s="1574"/>
      <c r="J112" s="1574"/>
      <c r="K112" s="1574"/>
      <c r="L112" s="1574"/>
      <c r="M112" s="1574"/>
      <c r="N112" s="1574"/>
      <c r="O112" s="1574"/>
      <c r="P112" s="1574"/>
      <c r="Q112" s="1574"/>
      <c r="R112" s="1574"/>
    </row>
    <row r="113" spans="1:21" ht="18">
      <c r="A113" s="1649"/>
      <c r="B113" s="1650" t="s">
        <v>368</v>
      </c>
      <c r="C113" s="1650" t="s">
        <v>369</v>
      </c>
      <c r="D113" s="1650" t="s">
        <v>1808</v>
      </c>
      <c r="E113" s="1650" t="s">
        <v>371</v>
      </c>
      <c r="F113" s="1650" t="s">
        <v>1809</v>
      </c>
      <c r="G113" s="1650" t="s">
        <v>375</v>
      </c>
      <c r="H113" s="1651" t="s">
        <v>77</v>
      </c>
      <c r="I113" s="1651" t="s">
        <v>78</v>
      </c>
      <c r="J113" s="1651" t="s">
        <v>376</v>
      </c>
      <c r="K113" s="1651" t="s">
        <v>377</v>
      </c>
      <c r="L113" s="1651" t="s">
        <v>378</v>
      </c>
      <c r="M113" s="1650" t="s">
        <v>379</v>
      </c>
      <c r="N113" s="1650" t="s">
        <v>380</v>
      </c>
      <c r="O113" s="1650" t="s">
        <v>381</v>
      </c>
      <c r="P113" s="1650" t="s">
        <v>382</v>
      </c>
      <c r="Q113" s="1652" t="s">
        <v>139</v>
      </c>
      <c r="R113" s="1574"/>
    </row>
    <row r="114" spans="1:21" ht="14.25">
      <c r="A114" s="1553" t="s">
        <v>1847</v>
      </c>
      <c r="B114" s="1554"/>
      <c r="C114" s="1554">
        <v>1</v>
      </c>
      <c r="D114" s="1544">
        <v>26100000</v>
      </c>
      <c r="E114" s="1544">
        <v>13100000</v>
      </c>
      <c r="F114" s="1544">
        <f>D114-E114</f>
        <v>13000000</v>
      </c>
      <c r="G114" s="1549" t="s">
        <v>389</v>
      </c>
      <c r="H114" s="1555" t="s">
        <v>386</v>
      </c>
      <c r="I114" s="1555" t="s">
        <v>386</v>
      </c>
      <c r="J114" s="1555" t="s">
        <v>386</v>
      </c>
      <c r="K114" s="1556" t="s">
        <v>386</v>
      </c>
      <c r="L114" s="1556" t="s">
        <v>386</v>
      </c>
      <c r="M114" s="1549" t="s">
        <v>1960</v>
      </c>
      <c r="N114" s="1549" t="s">
        <v>391</v>
      </c>
      <c r="O114" s="1549" t="s">
        <v>391</v>
      </c>
      <c r="P114" s="1549" t="s">
        <v>391</v>
      </c>
      <c r="Q114" s="1558" t="s">
        <v>391</v>
      </c>
      <c r="R114" s="1574"/>
    </row>
    <row r="115" spans="1:21" ht="14.25">
      <c r="A115" s="1542" t="s">
        <v>1961</v>
      </c>
      <c r="B115" s="1543"/>
      <c r="C115" s="1543"/>
      <c r="D115" s="1544">
        <v>17300000</v>
      </c>
      <c r="E115" s="1544">
        <v>13000000</v>
      </c>
      <c r="F115" s="1544">
        <f>D115-E115</f>
        <v>4300000</v>
      </c>
      <c r="G115" s="1549" t="s">
        <v>389</v>
      </c>
      <c r="H115" s="1555" t="s">
        <v>386</v>
      </c>
      <c r="I115" s="1555" t="s">
        <v>386</v>
      </c>
      <c r="J115" s="1555" t="s">
        <v>386</v>
      </c>
      <c r="K115" s="1556" t="s">
        <v>386</v>
      </c>
      <c r="L115" s="1556" t="s">
        <v>386</v>
      </c>
      <c r="M115" s="1549" t="s">
        <v>1960</v>
      </c>
      <c r="N115" s="1549" t="s">
        <v>391</v>
      </c>
      <c r="O115" s="1549" t="s">
        <v>391</v>
      </c>
      <c r="P115" s="1549" t="s">
        <v>391</v>
      </c>
      <c r="Q115" s="1558" t="s">
        <v>391</v>
      </c>
      <c r="R115" s="1574"/>
    </row>
    <row r="116" spans="1:21" ht="14.25">
      <c r="A116" s="1553" t="s">
        <v>1848</v>
      </c>
      <c r="B116" s="1554">
        <v>180</v>
      </c>
      <c r="C116" s="1554">
        <v>12</v>
      </c>
      <c r="D116" s="1544">
        <f>5300*B116</f>
        <v>954000</v>
      </c>
      <c r="E116" s="1544">
        <f>0*D116</f>
        <v>0</v>
      </c>
      <c r="F116" s="1544">
        <f>D116-E116</f>
        <v>954000</v>
      </c>
      <c r="G116" s="1549" t="s">
        <v>389</v>
      </c>
      <c r="H116" s="1555" t="s">
        <v>386</v>
      </c>
      <c r="I116" s="1555" t="s">
        <v>386</v>
      </c>
      <c r="J116" s="1555" t="s">
        <v>386</v>
      </c>
      <c r="K116" s="1556" t="s">
        <v>400</v>
      </c>
      <c r="L116" s="1556" t="s">
        <v>400</v>
      </c>
      <c r="M116" s="1549" t="s">
        <v>412</v>
      </c>
      <c r="N116" s="1549" t="s">
        <v>391</v>
      </c>
      <c r="O116" s="1549" t="s">
        <v>391</v>
      </c>
      <c r="P116" s="1549" t="s">
        <v>391</v>
      </c>
      <c r="Q116" s="1558" t="s">
        <v>391</v>
      </c>
      <c r="R116" s="1574"/>
    </row>
    <row r="117" spans="1:21" ht="14.25">
      <c r="A117" s="1548" t="s">
        <v>1849</v>
      </c>
      <c r="B117" s="1543">
        <v>100</v>
      </c>
      <c r="C117" s="1554">
        <v>17</v>
      </c>
      <c r="D117" s="1544">
        <f>5300*B117</f>
        <v>530000</v>
      </c>
      <c r="E117" s="1544">
        <v>0</v>
      </c>
      <c r="F117" s="1544">
        <f>D117-E117</f>
        <v>530000</v>
      </c>
      <c r="G117" s="1549" t="s">
        <v>389</v>
      </c>
      <c r="H117" s="1546" t="s">
        <v>386</v>
      </c>
      <c r="I117" s="1546" t="s">
        <v>386</v>
      </c>
      <c r="J117" s="1546" t="s">
        <v>386</v>
      </c>
      <c r="K117" s="1550" t="s">
        <v>400</v>
      </c>
      <c r="L117" s="1546" t="s">
        <v>386</v>
      </c>
      <c r="M117" s="1545" t="s">
        <v>412</v>
      </c>
      <c r="N117" s="1545" t="s">
        <v>391</v>
      </c>
      <c r="O117" s="1545" t="s">
        <v>391</v>
      </c>
      <c r="P117" s="1545" t="s">
        <v>391</v>
      </c>
      <c r="Q117" s="1547" t="s">
        <v>391</v>
      </c>
      <c r="R117" s="1574"/>
      <c r="S117" s="1466"/>
      <c r="U117" s="1467"/>
    </row>
    <row r="118" spans="1:21" ht="14.65" thickBot="1">
      <c r="A118" s="1565" t="s">
        <v>1850</v>
      </c>
      <c r="B118" s="1566">
        <v>70</v>
      </c>
      <c r="C118" s="1566">
        <v>17</v>
      </c>
      <c r="D118" s="1568">
        <f>5300*B118</f>
        <v>371000</v>
      </c>
      <c r="E118" s="1568">
        <f>0*D118</f>
        <v>0</v>
      </c>
      <c r="F118" s="1568">
        <f>D118-E118</f>
        <v>371000</v>
      </c>
      <c r="G118" s="1569" t="s">
        <v>389</v>
      </c>
      <c r="H118" s="1570" t="s">
        <v>386</v>
      </c>
      <c r="I118" s="1570" t="s">
        <v>386</v>
      </c>
      <c r="J118" s="1570" t="s">
        <v>386</v>
      </c>
      <c r="K118" s="1570" t="s">
        <v>386</v>
      </c>
      <c r="L118" s="1570" t="s">
        <v>386</v>
      </c>
      <c r="M118" s="1569" t="s">
        <v>412</v>
      </c>
      <c r="N118" s="1569" t="s">
        <v>391</v>
      </c>
      <c r="O118" s="1569" t="s">
        <v>391</v>
      </c>
      <c r="P118" s="1569" t="s">
        <v>391</v>
      </c>
      <c r="Q118" s="1573" t="s">
        <v>391</v>
      </c>
      <c r="R118" s="1574"/>
    </row>
    <row r="119" spans="1:21" ht="14.25">
      <c r="A119" s="1588"/>
      <c r="B119" s="1635"/>
      <c r="C119" s="1635"/>
      <c r="D119" s="1574"/>
      <c r="E119" s="1574"/>
      <c r="F119" s="1574"/>
      <c r="G119" s="1574"/>
      <c r="H119" s="1574"/>
      <c r="I119" s="1574"/>
      <c r="J119" s="1574"/>
      <c r="K119" s="1574"/>
      <c r="L119" s="1574"/>
      <c r="M119" s="1574"/>
      <c r="N119" s="1574"/>
      <c r="O119" s="1574"/>
      <c r="P119" s="1574"/>
      <c r="Q119" s="1574"/>
      <c r="R119" s="1574"/>
    </row>
    <row r="120" spans="1:21" ht="14.25">
      <c r="A120" s="1588" t="s">
        <v>2</v>
      </c>
      <c r="B120" s="1653">
        <f>SUM(B116:B118)</f>
        <v>350</v>
      </c>
      <c r="C120" s="1635"/>
      <c r="D120" s="1635">
        <f>SUM(D114:D118)</f>
        <v>45255000</v>
      </c>
      <c r="E120" s="1577">
        <f>SUM(E114:E118)</f>
        <v>26100000</v>
      </c>
      <c r="F120" s="1635">
        <f>SUM(F114:F118)</f>
        <v>19155000</v>
      </c>
      <c r="G120" s="1574"/>
      <c r="H120" s="1574"/>
      <c r="I120" s="1574"/>
      <c r="J120" s="1574"/>
      <c r="K120" s="1574"/>
      <c r="L120" s="1574"/>
      <c r="M120" s="1574"/>
      <c r="N120" s="1574"/>
      <c r="O120" s="1574"/>
      <c r="P120" s="1574"/>
      <c r="Q120" s="1574"/>
      <c r="R120" s="1574"/>
    </row>
    <row r="121" spans="1:21" ht="14.25">
      <c r="A121" s="1588"/>
      <c r="B121" s="1635"/>
      <c r="C121" s="1635"/>
      <c r="D121" s="1574"/>
      <c r="E121" s="1574"/>
      <c r="F121" s="1635"/>
      <c r="G121" s="1574"/>
      <c r="H121" s="1574"/>
      <c r="I121" s="1574"/>
      <c r="J121" s="1574"/>
      <c r="K121" s="1574"/>
      <c r="L121" s="1574"/>
      <c r="M121" s="1574"/>
      <c r="N121" s="1574"/>
      <c r="O121" s="1574"/>
      <c r="P121" s="1574"/>
      <c r="Q121" s="1574"/>
      <c r="R121" s="1574"/>
    </row>
    <row r="122" spans="1:21" ht="18.399999999999999" thickBot="1">
      <c r="A122" s="1648" t="s">
        <v>1811</v>
      </c>
      <c r="B122" s="1635"/>
      <c r="C122" s="1635"/>
      <c r="D122" s="1574"/>
      <c r="E122" s="1574"/>
      <c r="F122" s="1574"/>
      <c r="G122" s="1574"/>
      <c r="H122" s="1574"/>
      <c r="I122" s="1574"/>
      <c r="J122" s="1574"/>
      <c r="K122" s="1574"/>
      <c r="L122" s="1574"/>
      <c r="M122" s="1574"/>
      <c r="N122" s="1574"/>
      <c r="O122" s="1574"/>
      <c r="P122" s="1574"/>
      <c r="Q122" s="1574"/>
      <c r="R122" s="1574"/>
    </row>
    <row r="123" spans="1:21" ht="18.399999999999999" thickBot="1">
      <c r="A123" s="1648"/>
      <c r="B123" s="1594" t="s">
        <v>368</v>
      </c>
      <c r="C123" s="1574"/>
      <c r="D123" s="1578" t="s">
        <v>1812</v>
      </c>
      <c r="E123" s="1580" t="s">
        <v>417</v>
      </c>
      <c r="F123" s="1580" t="s">
        <v>1809</v>
      </c>
      <c r="G123" s="1579" t="s">
        <v>375</v>
      </c>
      <c r="H123" s="1574"/>
      <c r="I123" s="1574"/>
      <c r="J123" s="1574"/>
      <c r="K123" s="1574"/>
      <c r="L123" s="1574"/>
      <c r="M123" s="1574"/>
      <c r="N123" s="1574"/>
      <c r="O123" s="1574"/>
      <c r="P123" s="1574"/>
      <c r="Q123" s="1574"/>
      <c r="R123" s="1574"/>
    </row>
    <row r="124" spans="1:21" ht="14.65" thickBot="1">
      <c r="A124" s="1693" t="s">
        <v>1962</v>
      </c>
      <c r="B124" s="1694">
        <v>3000</v>
      </c>
      <c r="C124" s="1591"/>
      <c r="D124" s="1654">
        <v>500000</v>
      </c>
      <c r="E124" s="1655">
        <v>0</v>
      </c>
      <c r="F124" s="1655">
        <f>D124-E124</f>
        <v>500000</v>
      </c>
      <c r="G124" s="1696" t="s">
        <v>389</v>
      </c>
      <c r="H124" s="1695" t="s">
        <v>420</v>
      </c>
      <c r="I124" s="1592" t="s">
        <v>387</v>
      </c>
      <c r="J124" s="1592" t="s">
        <v>387</v>
      </c>
      <c r="K124" s="1592" t="s">
        <v>391</v>
      </c>
      <c r="L124" s="1592" t="s">
        <v>391</v>
      </c>
      <c r="M124" s="1592">
        <v>2024</v>
      </c>
      <c r="N124" s="1574"/>
      <c r="O124" s="1574"/>
      <c r="P124" s="1574"/>
      <c r="Q124" s="1574"/>
      <c r="R124" s="1574"/>
    </row>
    <row r="125" spans="1:21" ht="14.25">
      <c r="A125" s="1588" t="s">
        <v>2</v>
      </c>
      <c r="B125" s="1635"/>
      <c r="C125" s="1635"/>
      <c r="D125" s="1635">
        <f>D124</f>
        <v>500000</v>
      </c>
      <c r="E125" s="1635">
        <f>E12</f>
        <v>0</v>
      </c>
      <c r="F125" s="1635">
        <v>0</v>
      </c>
      <c r="G125" s="1574"/>
      <c r="H125" s="1574"/>
      <c r="I125" s="1574"/>
      <c r="J125" s="1574"/>
      <c r="K125" s="1574"/>
      <c r="L125" s="1574"/>
      <c r="M125" s="1574"/>
      <c r="N125" s="1574"/>
      <c r="O125" s="1574"/>
      <c r="P125" s="1574"/>
      <c r="Q125" s="1574"/>
      <c r="R125" s="1574"/>
    </row>
    <row r="126" spans="1:21" ht="21">
      <c r="A126" s="1637"/>
      <c r="B126" s="1574"/>
      <c r="C126" s="1656"/>
      <c r="D126" s="1574"/>
      <c r="E126" s="1574"/>
      <c r="F126" s="1574"/>
      <c r="G126" s="1574"/>
      <c r="H126" s="1574"/>
      <c r="I126" s="1574"/>
      <c r="J126" s="1574"/>
      <c r="K126" s="1574"/>
      <c r="L126" s="1574"/>
      <c r="M126" s="1574"/>
      <c r="N126" s="1574"/>
      <c r="O126" s="1574"/>
      <c r="P126" s="1574"/>
      <c r="Q126" s="1574"/>
      <c r="R126" s="1574"/>
    </row>
    <row r="127" spans="1:21" ht="18.399999999999999" thickBot="1">
      <c r="A127" s="1648" t="s">
        <v>436</v>
      </c>
      <c r="B127" s="1574"/>
      <c r="C127" s="1574"/>
      <c r="D127" s="1574"/>
      <c r="E127" s="1577"/>
      <c r="F127" s="1574"/>
      <c r="G127" s="1574"/>
      <c r="H127" s="1574"/>
      <c r="I127" s="1574"/>
      <c r="J127" s="1574"/>
      <c r="K127" s="1574"/>
      <c r="L127" s="1574"/>
      <c r="M127" s="1574"/>
      <c r="N127" s="1574"/>
      <c r="O127" s="1574"/>
      <c r="P127" s="1574"/>
      <c r="Q127" s="1574"/>
      <c r="R127" s="1574"/>
    </row>
    <row r="128" spans="1:21" ht="14.65" thickBot="1">
      <c r="A128" s="1594"/>
      <c r="B128" s="1574"/>
      <c r="C128" s="1574"/>
      <c r="D128" s="1578" t="s">
        <v>370</v>
      </c>
      <c r="E128" s="1595" t="s">
        <v>1814</v>
      </c>
      <c r="F128" s="1580" t="s">
        <v>418</v>
      </c>
      <c r="G128" s="1579" t="s">
        <v>375</v>
      </c>
      <c r="H128" s="1574"/>
      <c r="I128" s="1574"/>
      <c r="J128" s="1574"/>
      <c r="K128" s="1574"/>
      <c r="L128" s="1574"/>
      <c r="M128" s="1574"/>
      <c r="N128" s="1574"/>
      <c r="O128" s="1574"/>
      <c r="P128" s="1574"/>
      <c r="Q128" s="1574"/>
      <c r="R128" s="1574"/>
    </row>
    <row r="129" spans="1:18" ht="14.25">
      <c r="A129" s="1610" t="s">
        <v>1963</v>
      </c>
      <c r="B129" s="1574"/>
      <c r="C129" s="1574"/>
      <c r="D129" s="1611">
        <v>17000000</v>
      </c>
      <c r="E129" s="1612">
        <v>4000000</v>
      </c>
      <c r="F129" s="1613">
        <f>D129-E129</f>
        <v>13000000</v>
      </c>
      <c r="G129" s="1614" t="s">
        <v>389</v>
      </c>
      <c r="H129" s="1574"/>
      <c r="I129" s="1574"/>
      <c r="J129" s="1574"/>
      <c r="K129" s="1574"/>
      <c r="L129" s="1574"/>
      <c r="M129" s="1574"/>
      <c r="N129" s="1574"/>
      <c r="O129" s="1574"/>
      <c r="P129" s="1574"/>
      <c r="Q129" s="1574"/>
      <c r="R129" s="1574"/>
    </row>
    <row r="130" spans="1:18" ht="14.25">
      <c r="A130" s="1610" t="s">
        <v>437</v>
      </c>
      <c r="B130" s="1574"/>
      <c r="C130" s="1574"/>
      <c r="D130" s="1611">
        <v>28000000</v>
      </c>
      <c r="E130" s="1612">
        <v>19000000</v>
      </c>
      <c r="F130" s="1613">
        <f>D130-E130</f>
        <v>9000000</v>
      </c>
      <c r="G130" s="1614" t="s">
        <v>385</v>
      </c>
      <c r="H130" s="1574"/>
      <c r="I130" s="1574"/>
      <c r="J130" s="1574"/>
      <c r="K130" s="1574"/>
      <c r="L130" s="1574"/>
      <c r="M130" s="1574"/>
      <c r="N130" s="1574"/>
      <c r="O130" s="1574"/>
      <c r="P130" s="1574"/>
      <c r="Q130" s="1574"/>
      <c r="R130" s="1574"/>
    </row>
    <row r="131" spans="1:18" ht="14.25">
      <c r="A131" s="1610" t="s">
        <v>1964</v>
      </c>
      <c r="B131" s="1574"/>
      <c r="C131" s="1574"/>
      <c r="D131" s="1616">
        <v>55000000</v>
      </c>
      <c r="E131" s="1617">
        <f>F131</f>
        <v>27500000</v>
      </c>
      <c r="F131" s="1618">
        <f>D131/2</f>
        <v>27500000</v>
      </c>
      <c r="G131" s="1657" t="s">
        <v>389</v>
      </c>
      <c r="H131" s="1658" t="s">
        <v>1965</v>
      </c>
      <c r="I131" s="1658" t="s">
        <v>391</v>
      </c>
      <c r="J131" s="1658" t="s">
        <v>391</v>
      </c>
      <c r="K131" s="1658" t="s">
        <v>391</v>
      </c>
      <c r="L131" s="1658" t="s">
        <v>391</v>
      </c>
      <c r="M131" s="1658">
        <v>2025</v>
      </c>
      <c r="N131" s="1574"/>
      <c r="O131" s="1574"/>
      <c r="P131" s="1574"/>
      <c r="Q131" s="1574"/>
      <c r="R131" s="1574"/>
    </row>
    <row r="132" spans="1:18" ht="14.25">
      <c r="A132" s="1574" t="s">
        <v>2</v>
      </c>
      <c r="B132" s="1574"/>
      <c r="C132" s="1574"/>
      <c r="D132" s="1635">
        <f>SUM(D129:D131)</f>
        <v>100000000</v>
      </c>
      <c r="E132" s="1635">
        <f>SUM(E129:E131)</f>
        <v>50500000</v>
      </c>
      <c r="F132" s="1635">
        <f>SUM(F129:F131)</f>
        <v>49500000</v>
      </c>
      <c r="G132" s="1574"/>
      <c r="H132" s="1574"/>
      <c r="I132" s="1574"/>
      <c r="J132" s="1574"/>
      <c r="K132" s="1574"/>
      <c r="L132" s="1574"/>
      <c r="M132" s="1574"/>
      <c r="N132" s="1574"/>
      <c r="O132" s="1574"/>
      <c r="P132" s="1574"/>
      <c r="Q132" s="1574"/>
      <c r="R132" s="1574"/>
    </row>
    <row r="133" spans="1:18" ht="14.25">
      <c r="A133" s="1574"/>
      <c r="B133" s="1574"/>
      <c r="C133" s="1574"/>
      <c r="D133" s="1574"/>
      <c r="E133" s="1574"/>
      <c r="F133" s="1574"/>
      <c r="G133" s="1574"/>
      <c r="H133" s="1574"/>
      <c r="I133" s="1574"/>
      <c r="J133" s="1574"/>
      <c r="K133" s="1574"/>
      <c r="L133" s="1574"/>
      <c r="M133" s="1574"/>
      <c r="N133" s="1574"/>
      <c r="O133" s="1574"/>
      <c r="P133" s="1574"/>
      <c r="Q133" s="1574"/>
      <c r="R133" s="1574"/>
    </row>
    <row r="134" spans="1:18" ht="18.399999999999999" thickBot="1">
      <c r="A134" s="1648" t="s">
        <v>441</v>
      </c>
      <c r="B134" s="1574"/>
      <c r="C134" s="1574"/>
      <c r="D134" s="1574"/>
      <c r="E134" s="1577"/>
      <c r="F134" s="1574"/>
      <c r="G134" s="1574"/>
      <c r="H134" s="1574"/>
      <c r="I134" s="1574"/>
      <c r="J134" s="1574"/>
      <c r="K134" s="1574"/>
      <c r="L134" s="1574"/>
      <c r="M134" s="1574"/>
      <c r="N134" s="1574"/>
      <c r="O134" s="1574"/>
      <c r="P134" s="1574"/>
      <c r="Q134" s="1574"/>
      <c r="R134" s="1574"/>
    </row>
    <row r="135" spans="1:18" ht="14.65" thickBot="1">
      <c r="A135" s="1594"/>
      <c r="B135" s="1574"/>
      <c r="C135" s="1574"/>
      <c r="D135" s="1659" t="s">
        <v>370</v>
      </c>
      <c r="E135" s="1660" t="s">
        <v>427</v>
      </c>
      <c r="F135" s="1661" t="s">
        <v>418</v>
      </c>
      <c r="G135" s="1662" t="s">
        <v>375</v>
      </c>
      <c r="H135" s="1574"/>
      <c r="I135" s="1574"/>
      <c r="J135" s="1574"/>
      <c r="K135" s="1574"/>
      <c r="L135" s="1574"/>
      <c r="M135" s="1574"/>
      <c r="N135" s="1574"/>
      <c r="O135" s="1574"/>
      <c r="P135" s="1574"/>
      <c r="Q135" s="1574"/>
      <c r="R135" s="1574"/>
    </row>
    <row r="136" spans="1:18" ht="14.25">
      <c r="A136" s="1625" t="s">
        <v>444</v>
      </c>
      <c r="B136" s="1574"/>
      <c r="C136" s="1574"/>
      <c r="D136" s="1664">
        <v>8500000</v>
      </c>
      <c r="E136" s="1632">
        <v>3500000</v>
      </c>
      <c r="F136" s="1632">
        <f>D136-E136</f>
        <v>5000000</v>
      </c>
      <c r="G136" s="1666" t="s">
        <v>389</v>
      </c>
      <c r="H136" s="1574"/>
      <c r="I136" s="1574"/>
      <c r="J136" s="1574"/>
      <c r="K136" s="1574"/>
      <c r="L136" s="1574"/>
      <c r="M136" s="1574"/>
      <c r="N136" s="1574"/>
      <c r="O136" s="1574"/>
      <c r="P136" s="1574"/>
      <c r="Q136" s="1574"/>
      <c r="R136" s="1574"/>
    </row>
    <row r="137" spans="1:18" ht="14.25">
      <c r="A137" s="1625" t="s">
        <v>1966</v>
      </c>
      <c r="B137" s="1574"/>
      <c r="C137" s="1574"/>
      <c r="D137" s="1664">
        <v>363000000</v>
      </c>
      <c r="E137" s="1632">
        <v>150000000</v>
      </c>
      <c r="F137" s="1632">
        <v>213000000</v>
      </c>
      <c r="G137" s="1666" t="s">
        <v>389</v>
      </c>
      <c r="H137" s="1663" t="s">
        <v>1967</v>
      </c>
      <c r="I137" s="1631" t="s">
        <v>387</v>
      </c>
      <c r="J137" s="1631" t="s">
        <v>387</v>
      </c>
      <c r="K137" s="1631" t="s">
        <v>387</v>
      </c>
      <c r="L137" s="1631" t="s">
        <v>1826</v>
      </c>
      <c r="M137" s="1631">
        <v>2024</v>
      </c>
      <c r="N137" s="1574"/>
      <c r="O137" s="1574"/>
      <c r="P137" s="1574"/>
      <c r="Q137" s="1574"/>
      <c r="R137" s="1574"/>
    </row>
    <row r="138" spans="1:18" ht="14.25">
      <c r="A138" s="1625" t="s">
        <v>536</v>
      </c>
      <c r="B138" s="1574"/>
      <c r="C138" s="1574"/>
      <c r="D138" s="1626">
        <v>1130000000</v>
      </c>
      <c r="E138" s="1627">
        <f>0.78*D138</f>
        <v>881400000</v>
      </c>
      <c r="F138" s="1628">
        <f>(D138-E138)*0.64</f>
        <v>159104000</v>
      </c>
      <c r="G138" s="1629" t="s">
        <v>537</v>
      </c>
      <c r="H138" s="1663" t="s">
        <v>1968</v>
      </c>
      <c r="I138" s="1631" t="s">
        <v>387</v>
      </c>
      <c r="J138" s="1631" t="s">
        <v>387</v>
      </c>
      <c r="K138" s="1631" t="s">
        <v>1826</v>
      </c>
      <c r="L138" s="1631" t="s">
        <v>1826</v>
      </c>
      <c r="M138" s="1631">
        <v>2025</v>
      </c>
      <c r="N138" s="1574"/>
      <c r="O138" s="1574"/>
      <c r="P138" s="1574"/>
      <c r="Q138" s="1574"/>
      <c r="R138" s="1574"/>
    </row>
    <row r="139" spans="1:18" ht="14.25">
      <c r="A139" s="1625" t="s">
        <v>1920</v>
      </c>
      <c r="B139" s="1574"/>
      <c r="C139" s="1574"/>
      <c r="D139" s="1664">
        <v>65000000</v>
      </c>
      <c r="E139" s="1665">
        <v>0</v>
      </c>
      <c r="F139" s="1632">
        <v>65000000</v>
      </c>
      <c r="G139" s="1666" t="s">
        <v>389</v>
      </c>
      <c r="H139" s="1663" t="s">
        <v>1649</v>
      </c>
      <c r="I139" s="1631" t="s">
        <v>391</v>
      </c>
      <c r="J139" s="1631" t="s">
        <v>391</v>
      </c>
      <c r="K139" s="1631" t="s">
        <v>1826</v>
      </c>
      <c r="L139" s="1631" t="s">
        <v>391</v>
      </c>
      <c r="M139" s="1666">
        <v>2026</v>
      </c>
      <c r="N139" s="1574"/>
      <c r="O139" s="1574"/>
      <c r="P139" s="1574"/>
      <c r="Q139" s="1574"/>
      <c r="R139" s="1574"/>
    </row>
    <row r="140" spans="1:18" ht="14.25">
      <c r="A140" s="1625" t="s">
        <v>442</v>
      </c>
      <c r="B140" s="1574"/>
      <c r="C140" s="1574"/>
      <c r="D140" s="1626">
        <v>15000000</v>
      </c>
      <c r="E140" s="1627">
        <v>0</v>
      </c>
      <c r="F140" s="1628">
        <f>D140-E140</f>
        <v>15000000</v>
      </c>
      <c r="G140" s="1629" t="s">
        <v>389</v>
      </c>
      <c r="H140" s="1674" t="s">
        <v>1969</v>
      </c>
      <c r="I140" s="1630" t="s">
        <v>391</v>
      </c>
      <c r="J140" s="1630" t="s">
        <v>391</v>
      </c>
      <c r="K140" s="1630" t="s">
        <v>1826</v>
      </c>
      <c r="L140" s="1630" t="s">
        <v>391</v>
      </c>
      <c r="M140" s="1629">
        <v>2025</v>
      </c>
      <c r="N140" s="1574"/>
      <c r="O140" s="1574"/>
      <c r="P140" s="1574"/>
      <c r="Q140" s="1574"/>
      <c r="R140" s="1574"/>
    </row>
    <row r="141" spans="1:18" ht="14.65" thickBot="1">
      <c r="A141" s="1667" t="s">
        <v>446</v>
      </c>
      <c r="B141" s="1574"/>
      <c r="C141" s="1574"/>
      <c r="D141" s="1668">
        <v>3000000</v>
      </c>
      <c r="E141" s="1669">
        <v>0</v>
      </c>
      <c r="F141" s="1670">
        <f>D141-E141</f>
        <v>3000000</v>
      </c>
      <c r="G141" s="1671" t="s">
        <v>389</v>
      </c>
      <c r="H141" s="1675" t="s">
        <v>432</v>
      </c>
      <c r="I141" s="1672" t="s">
        <v>387</v>
      </c>
      <c r="J141" s="1672" t="s">
        <v>387</v>
      </c>
      <c r="K141" s="1672" t="s">
        <v>387</v>
      </c>
      <c r="L141" s="1672" t="s">
        <v>387</v>
      </c>
      <c r="M141" s="1671">
        <v>2025</v>
      </c>
      <c r="N141" s="1574"/>
      <c r="O141" s="1574"/>
      <c r="P141" s="1574"/>
      <c r="Q141" s="1574"/>
      <c r="R141" s="1574"/>
    </row>
    <row r="142" spans="1:18" ht="14.25">
      <c r="A142" s="1591"/>
      <c r="B142" s="1591"/>
      <c r="C142" s="1591"/>
      <c r="D142" s="1673"/>
      <c r="E142" s="1673"/>
      <c r="F142" s="1673"/>
      <c r="G142" s="1591"/>
      <c r="H142" s="1591"/>
      <c r="I142" s="1591"/>
      <c r="J142" s="1591"/>
      <c r="K142" s="1591"/>
      <c r="L142" s="1591"/>
      <c r="M142" s="1591"/>
      <c r="N142" s="1574"/>
      <c r="O142" s="1574"/>
      <c r="P142" s="1574"/>
      <c r="Q142" s="1574"/>
      <c r="R142" s="1574"/>
    </row>
    <row r="143" spans="1:18" ht="14.25">
      <c r="A143" s="1588" t="s">
        <v>416</v>
      </c>
      <c r="B143" s="1588"/>
      <c r="C143" s="1588"/>
      <c r="D143" s="1635">
        <f>SUM(D136:D141)</f>
        <v>1584500000</v>
      </c>
      <c r="E143" s="1635">
        <f>SUM(E136:E141)</f>
        <v>1034900000</v>
      </c>
      <c r="F143" s="1635">
        <f>SUM(F136:F141)</f>
        <v>460104000</v>
      </c>
      <c r="G143" s="1577"/>
      <c r="H143" s="1574"/>
      <c r="I143" s="1574"/>
      <c r="J143" s="1574"/>
      <c r="K143" s="1574"/>
      <c r="L143" s="1574"/>
      <c r="M143" s="1574"/>
      <c r="N143" s="1574"/>
      <c r="O143" s="1574"/>
      <c r="P143" s="1574"/>
      <c r="Q143" s="1574"/>
      <c r="R143" s="1574"/>
    </row>
    <row r="144" spans="1:18"/>
    <row r="145" spans="1:3"/>
    <row r="146" spans="1:3" ht="14.25">
      <c r="A146" s="1466" t="s">
        <v>416</v>
      </c>
    </row>
    <row r="147" spans="1:3" ht="14.25">
      <c r="A147" s="1466"/>
    </row>
    <row r="148" spans="1:3" ht="14.25">
      <c r="B148" s="1474"/>
    </row>
    <row r="149" spans="1:3" ht="14.25">
      <c r="A149" s="1466" t="s">
        <v>449</v>
      </c>
      <c r="B149" s="1477">
        <f>D120+D125+D132+D143</f>
        <v>1730255000</v>
      </c>
    </row>
    <row r="150" spans="1:3" ht="14.25">
      <c r="A150" s="1466" t="s">
        <v>450</v>
      </c>
      <c r="B150" s="1477">
        <f>E120+E125+E132+E143</f>
        <v>1111500000</v>
      </c>
    </row>
    <row r="151" spans="1:3" ht="14.25">
      <c r="A151" s="1466" t="s">
        <v>451</v>
      </c>
      <c r="B151" s="1477">
        <f>F120+F125+F132+F143</f>
        <v>528759000</v>
      </c>
    </row>
    <row r="152" spans="1:3" ht="14.25">
      <c r="A152" s="1475" t="s">
        <v>452</v>
      </c>
      <c r="B152" s="1478">
        <f>F120</f>
        <v>19155000</v>
      </c>
    </row>
    <row r="153" spans="1:3" ht="14.25">
      <c r="A153" s="1475" t="s">
        <v>453</v>
      </c>
      <c r="C153" s="1476">
        <f>F125</f>
        <v>0</v>
      </c>
    </row>
    <row r="154" spans="1:3" ht="14.25">
      <c r="A154" s="1475" t="s">
        <v>454</v>
      </c>
      <c r="C154" s="1476">
        <f>F132</f>
        <v>49500000</v>
      </c>
    </row>
    <row r="155" spans="1:3" ht="14.25">
      <c r="A155" s="1475" t="s">
        <v>455</v>
      </c>
      <c r="C155" s="1476">
        <f>F143</f>
        <v>460104000</v>
      </c>
    </row>
    <row r="156" spans="1:3" ht="14.25">
      <c r="A156" s="1475"/>
      <c r="C156" s="1476"/>
    </row>
    <row r="157" spans="1:3"/>
    <row r="158" spans="1:3" ht="18">
      <c r="A158" s="1479" t="s">
        <v>1851</v>
      </c>
      <c r="B158" s="1676">
        <v>120000000</v>
      </c>
      <c r="C158" s="1480" t="s">
        <v>1852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workbookViewId="0"/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17" customWidth="1"/>
    <col min="7" max="7" width="13" style="1714" customWidth="1"/>
    <col min="8" max="8" width="14.265625" style="1718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12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2105</v>
      </c>
      <c r="B2" s="1712"/>
      <c r="G2" s="1713" t="s">
        <v>1979</v>
      </c>
      <c r="H2" s="1713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12"/>
      <c r="D3" s="1712"/>
      <c r="E3" s="1712"/>
      <c r="F3" s="1716"/>
    </row>
    <row r="4" spans="1:60">
      <c r="A4" s="2" t="s">
        <v>1977</v>
      </c>
      <c r="B4" s="1754">
        <f>+B8+B17+B6+B16+B5</f>
        <v>376630000</v>
      </c>
      <c r="C4" s="1712">
        <f>+B4-B61</f>
        <v>-271745569</v>
      </c>
      <c r="D4" s="1712"/>
      <c r="E4" s="1712"/>
      <c r="F4" s="1716"/>
    </row>
    <row r="5" spans="1:60">
      <c r="A5" s="2" t="s">
        <v>4</v>
      </c>
      <c r="B5" s="2">
        <f>+C21+C33++C41+C51</f>
        <v>257280000</v>
      </c>
      <c r="C5" s="1712"/>
      <c r="D5" s="1712"/>
      <c r="E5" s="1712"/>
      <c r="F5" s="1716"/>
    </row>
    <row r="6" spans="1:60">
      <c r="A6" s="2" t="s">
        <v>2104</v>
      </c>
      <c r="B6" s="2">
        <f>35000000*3</f>
        <v>105000000</v>
      </c>
      <c r="C6" s="1712"/>
      <c r="D6" s="1712"/>
      <c r="E6" s="1712"/>
      <c r="F6" s="1716"/>
      <c r="H6" s="1718">
        <f>840-540</f>
        <v>300</v>
      </c>
    </row>
    <row r="7" spans="1:60">
      <c r="C7" s="1712"/>
      <c r="D7" s="1712"/>
      <c r="E7" s="1712"/>
      <c r="F7" s="1716"/>
    </row>
    <row r="8" spans="1:60">
      <c r="A8" s="1756" t="s">
        <v>459</v>
      </c>
      <c r="B8" s="2">
        <f>SUM(B9:B14)</f>
        <v>14350000</v>
      </c>
      <c r="C8" s="1712"/>
      <c r="E8" s="1712"/>
      <c r="F8" s="1716"/>
    </row>
    <row r="9" spans="1:60">
      <c r="A9" s="1717" t="s">
        <v>460</v>
      </c>
      <c r="C9" s="3">
        <f>'zásobník projektů 2023-2027'!B80</f>
        <v>0</v>
      </c>
      <c r="D9" s="1712"/>
      <c r="E9" s="1712"/>
      <c r="F9" s="1716"/>
    </row>
    <row r="10" spans="1:60">
      <c r="A10" s="1717" t="s">
        <v>1830</v>
      </c>
      <c r="C10" s="3">
        <f>'zásobník projektů 2023-2027'!B81</f>
        <v>0</v>
      </c>
      <c r="D10" s="1712">
        <f>+C10/E10</f>
        <v>0</v>
      </c>
      <c r="E10" s="1712">
        <f>+F10/2</f>
        <v>19000</v>
      </c>
      <c r="F10" s="1716">
        <v>38000</v>
      </c>
    </row>
    <row r="11" spans="1:60">
      <c r="A11" s="1717" t="s">
        <v>1831</v>
      </c>
      <c r="D11" s="1712"/>
      <c r="E11" s="1712">
        <f>+E10*6000</f>
        <v>114000000</v>
      </c>
      <c r="F11" s="1716">
        <f>+F10*5000</f>
        <v>190000000</v>
      </c>
    </row>
    <row r="12" spans="1:60">
      <c r="A12" s="1717" t="s">
        <v>2080</v>
      </c>
      <c r="B12" s="3">
        <f>13050000-4000000</f>
        <v>9050000</v>
      </c>
      <c r="C12" s="1712"/>
      <c r="D12" s="1712"/>
      <c r="E12" s="1712"/>
      <c r="F12" s="1716"/>
    </row>
    <row r="13" spans="1:60">
      <c r="A13" s="1717" t="s">
        <v>2083</v>
      </c>
      <c r="C13" s="1712"/>
      <c r="D13" s="1712"/>
      <c r="E13" s="1712"/>
      <c r="F13" s="1716"/>
    </row>
    <row r="14" spans="1:60">
      <c r="A14" s="1717" t="s">
        <v>2082</v>
      </c>
      <c r="B14" s="3">
        <v>5300000</v>
      </c>
      <c r="C14" s="1712" t="s">
        <v>2084</v>
      </c>
      <c r="D14" s="1712"/>
      <c r="E14" s="1712"/>
      <c r="F14" s="1716"/>
    </row>
    <row r="15" spans="1:60">
      <c r="C15" s="1712"/>
      <c r="D15" s="1712"/>
      <c r="E15" s="1712"/>
      <c r="F15" s="1716"/>
    </row>
    <row r="16" spans="1:60">
      <c r="A16" s="1754" t="s">
        <v>779</v>
      </c>
      <c r="B16" s="1755"/>
      <c r="C16" s="1712"/>
      <c r="D16" s="1712"/>
      <c r="E16" s="1712"/>
      <c r="F16" s="1716"/>
    </row>
    <row r="17" spans="1:60">
      <c r="A17" s="1754" t="s">
        <v>1978</v>
      </c>
      <c r="B17" s="1754"/>
      <c r="C17" s="1712" t="s">
        <v>2081</v>
      </c>
      <c r="D17" s="1712"/>
      <c r="E17" s="1712"/>
      <c r="F17" s="1716"/>
    </row>
    <row r="18" spans="1:60">
      <c r="A18" s="2"/>
      <c r="C18" s="1712"/>
      <c r="D18" s="1712"/>
      <c r="E18" s="1712"/>
      <c r="F18" s="1716"/>
    </row>
    <row r="19" spans="1:60">
      <c r="A19" s="2"/>
      <c r="B19" s="1712" t="s">
        <v>1974</v>
      </c>
      <c r="C19" s="1712" t="s">
        <v>4</v>
      </c>
      <c r="D19" s="1712" t="s">
        <v>1975</v>
      </c>
      <c r="E19" s="1712" t="s">
        <v>1976</v>
      </c>
      <c r="F19" s="3"/>
      <c r="G19" s="1718" t="s">
        <v>1979</v>
      </c>
      <c r="H19" s="1713" t="s">
        <v>237</v>
      </c>
    </row>
    <row r="20" spans="1:60">
      <c r="A20" s="2" t="s">
        <v>1980</v>
      </c>
      <c r="E20" s="1717"/>
      <c r="F20" s="3"/>
      <c r="I20" s="1712">
        <v>2023</v>
      </c>
      <c r="V20" s="2">
        <v>2024</v>
      </c>
      <c r="AI20" s="2">
        <v>2025</v>
      </c>
      <c r="AV20" s="2">
        <v>2026</v>
      </c>
    </row>
    <row r="21" spans="1:60">
      <c r="A21" s="1716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17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17" t="s">
        <v>1940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17"/>
      <c r="F22" s="3"/>
      <c r="G22" s="1715"/>
      <c r="H22" s="1719"/>
    </row>
    <row r="23" spans="1:60">
      <c r="A23" s="1717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17">
        <f>'zásobník projektů 2023-2027'!R7</f>
        <v>2025</v>
      </c>
      <c r="F23" s="3"/>
      <c r="G23" s="1715">
        <f t="shared" ref="G23:G31" si="2">+C23/B23</f>
        <v>0</v>
      </c>
      <c r="H23" s="1719" t="s">
        <v>2059</v>
      </c>
      <c r="V23" s="2">
        <f>+B23</f>
        <v>795000</v>
      </c>
    </row>
    <row r="24" spans="1:60">
      <c r="A24" s="1717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17">
        <f>'zásobník projektů 2023-2027'!R8</f>
        <v>2025</v>
      </c>
      <c r="F24" s="3"/>
      <c r="G24" s="1715">
        <f t="shared" si="2"/>
        <v>0</v>
      </c>
      <c r="H24" s="1719" t="s">
        <v>2059</v>
      </c>
      <c r="V24" s="2">
        <f>+B24</f>
        <v>503500</v>
      </c>
    </row>
    <row r="25" spans="1:60">
      <c r="A25" s="1717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17">
        <f>'zásobník projektů 2023-2027'!R9</f>
        <v>2025</v>
      </c>
      <c r="F25" s="3"/>
      <c r="G25" s="1715">
        <f t="shared" si="2"/>
        <v>0</v>
      </c>
      <c r="H25" s="1719" t="s">
        <v>2059</v>
      </c>
      <c r="V25" s="2">
        <f>+B25</f>
        <v>911600</v>
      </c>
    </row>
    <row r="26" spans="1:60">
      <c r="A26" s="1717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17">
        <f>'zásobník projektů 2023-2027'!R10</f>
        <v>2025</v>
      </c>
      <c r="F26" s="3"/>
      <c r="G26" s="1715">
        <f t="shared" si="2"/>
        <v>0</v>
      </c>
      <c r="H26" s="1719" t="s">
        <v>2059</v>
      </c>
      <c r="V26" s="2">
        <f>+B26</f>
        <v>500000</v>
      </c>
    </row>
    <row r="27" spans="1:60">
      <c r="A27" s="1717" t="s">
        <v>1941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17">
        <f>'zásobník projektů 2023-2027'!R11</f>
        <v>2025</v>
      </c>
      <c r="F27" s="3"/>
      <c r="G27" s="1715">
        <f t="shared" si="2"/>
        <v>0.94374999999999998</v>
      </c>
      <c r="H27" s="1719" t="s">
        <v>2059</v>
      </c>
      <c r="V27" s="2">
        <f>+B27</f>
        <v>80000000</v>
      </c>
    </row>
    <row r="28" spans="1:60">
      <c r="A28" s="1717" t="s">
        <v>1942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17">
        <f>'zásobník projektů 2023-2027'!R12</f>
        <v>2025</v>
      </c>
      <c r="F28" s="3"/>
      <c r="G28" s="1715">
        <f t="shared" si="2"/>
        <v>0</v>
      </c>
      <c r="H28" s="1719" t="s">
        <v>2059</v>
      </c>
      <c r="I28" s="2">
        <f>+B28</f>
        <v>4500000</v>
      </c>
    </row>
    <row r="29" spans="1:60">
      <c r="A29" s="1717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17">
        <f>'zásobník projektů 2023-2027'!R13</f>
        <v>0</v>
      </c>
      <c r="F29" s="3"/>
      <c r="G29" s="1715" t="e">
        <f t="shared" si="2"/>
        <v>#DIV/0!</v>
      </c>
      <c r="H29" s="1719" t="s">
        <v>2059</v>
      </c>
      <c r="I29" s="2">
        <f>+B29</f>
        <v>0</v>
      </c>
    </row>
    <row r="30" spans="1:60">
      <c r="A30" s="1717" t="s">
        <v>1943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17">
        <f>'zásobník projektů 2023-2027'!R14</f>
        <v>0</v>
      </c>
      <c r="F30" s="3"/>
      <c r="G30" s="1715">
        <f t="shared" si="2"/>
        <v>0.85625468530088567</v>
      </c>
      <c r="H30" s="1719" t="s">
        <v>2059</v>
      </c>
      <c r="I30" s="2">
        <f>+B30</f>
        <v>88174700</v>
      </c>
    </row>
    <row r="31" spans="1:60">
      <c r="A31" s="1717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17">
        <f>'zásobník projektů 2023-2027'!R15</f>
        <v>0</v>
      </c>
      <c r="F31" s="3"/>
      <c r="G31" s="1715" t="e">
        <f t="shared" si="2"/>
        <v>#DIV/0!</v>
      </c>
      <c r="H31" s="1719" t="s">
        <v>2059</v>
      </c>
      <c r="V31" s="2">
        <f>+B31</f>
        <v>0</v>
      </c>
    </row>
    <row r="32" spans="1:60">
      <c r="A32" s="1717"/>
      <c r="E32" s="1717"/>
      <c r="F32" s="3"/>
    </row>
    <row r="33" spans="1:22">
      <c r="A33" s="1716" t="s">
        <v>1973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17"/>
      <c r="F33" s="3"/>
    </row>
    <row r="34" spans="1:22">
      <c r="A34" s="1717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17">
        <f>'zásobník projektů 2023-2027'!M22</f>
        <v>2025</v>
      </c>
      <c r="F34" s="3"/>
      <c r="G34" s="1715">
        <f t="shared" ref="G34:G39" si="5">+C34/B34</f>
        <v>0.87179487179487181</v>
      </c>
      <c r="H34" s="1719" t="s">
        <v>2059</v>
      </c>
      <c r="I34" s="2">
        <f>+B34</f>
        <v>3900000</v>
      </c>
    </row>
    <row r="35" spans="1:22">
      <c r="A35" s="1717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17">
        <f>'zásobník projektů 2023-2027'!M23</f>
        <v>2025</v>
      </c>
      <c r="F35" s="3"/>
      <c r="G35" s="1715">
        <f t="shared" si="5"/>
        <v>0</v>
      </c>
      <c r="H35" s="1719" t="s">
        <v>2059</v>
      </c>
      <c r="V35" s="2">
        <f>+B35</f>
        <v>1000000</v>
      </c>
    </row>
    <row r="36" spans="1:22">
      <c r="A36" s="1717" t="s">
        <v>1945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17">
        <f>'zásobník projektů 2023-2027'!M24</f>
        <v>2025</v>
      </c>
      <c r="F36" s="3"/>
      <c r="G36" s="1715">
        <f t="shared" si="5"/>
        <v>0</v>
      </c>
      <c r="H36" s="1719" t="s">
        <v>2059</v>
      </c>
      <c r="V36" s="2">
        <f>+B36</f>
        <v>1500000</v>
      </c>
    </row>
    <row r="37" spans="1:22">
      <c r="A37" s="1717" t="s">
        <v>1947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17">
        <f>'zásobník projektů 2023-2027'!M25</f>
        <v>2025</v>
      </c>
      <c r="F37" s="3"/>
      <c r="G37" s="1715">
        <f t="shared" si="5"/>
        <v>0</v>
      </c>
      <c r="H37" s="1719" t="s">
        <v>2059</v>
      </c>
      <c r="I37" s="2">
        <f>+B37</f>
        <v>1600000</v>
      </c>
    </row>
    <row r="38" spans="1:22">
      <c r="A38" s="1717" t="s">
        <v>1948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17">
        <f>'zásobník projektů 2023-2027'!M26</f>
        <v>0</v>
      </c>
      <c r="F38" s="3"/>
      <c r="G38" s="1715" t="e">
        <f t="shared" si="5"/>
        <v>#DIV/0!</v>
      </c>
      <c r="H38" s="1719" t="s">
        <v>2059</v>
      </c>
      <c r="V38" s="2">
        <f>+B38</f>
        <v>0</v>
      </c>
    </row>
    <row r="39" spans="1:22">
      <c r="A39" s="1717" t="s">
        <v>1949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17">
        <f>'zásobník projektů 2023-2027'!M27</f>
        <v>0</v>
      </c>
      <c r="F39" s="3"/>
      <c r="G39" s="1715">
        <f t="shared" si="5"/>
        <v>0.50105549242616876</v>
      </c>
      <c r="H39" s="1719" t="s">
        <v>2059</v>
      </c>
      <c r="V39" s="2">
        <f>+B39</f>
        <v>16026169</v>
      </c>
    </row>
    <row r="40" spans="1:22">
      <c r="A40" s="1717"/>
      <c r="E40" s="1717"/>
      <c r="F40" s="3"/>
    </row>
    <row r="41" spans="1:22">
      <c r="A41" s="1716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17"/>
      <c r="F41" s="3"/>
    </row>
    <row r="42" spans="1:22">
      <c r="A42" s="1717" t="s">
        <v>1950</v>
      </c>
      <c r="D42" s="3">
        <f t="shared" ref="D42:D49" si="7">+B42-C42</f>
        <v>0</v>
      </c>
      <c r="E42" s="1717"/>
      <c r="F42" s="3"/>
      <c r="G42" s="1715"/>
      <c r="H42" s="1719" t="s">
        <v>2059</v>
      </c>
      <c r="I42" s="2">
        <f t="shared" ref="I42:I47" si="8">+B42</f>
        <v>0</v>
      </c>
    </row>
    <row r="43" spans="1:22">
      <c r="A43" s="1717" t="s">
        <v>1815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17" t="str">
        <f>'zásobník projektů 2023-2027'!M43</f>
        <v>2024-2025</v>
      </c>
      <c r="F43" s="3"/>
      <c r="G43" s="1715">
        <f t="shared" ref="G43:G49" si="9">+C43/B43</f>
        <v>0.18018018018018017</v>
      </c>
      <c r="H43" s="1752" t="s">
        <v>2058</v>
      </c>
      <c r="I43" s="2">
        <f t="shared" si="8"/>
        <v>111000000</v>
      </c>
    </row>
    <row r="44" spans="1:22">
      <c r="A44" s="1717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17">
        <f>'zásobník projektů 2023-2027'!M44</f>
        <v>2025</v>
      </c>
      <c r="F44" s="3"/>
      <c r="G44" s="1715">
        <f t="shared" si="9"/>
        <v>0.5</v>
      </c>
      <c r="H44" s="1719" t="s">
        <v>2059</v>
      </c>
      <c r="I44" s="2">
        <f t="shared" si="8"/>
        <v>2000000</v>
      </c>
    </row>
    <row r="45" spans="1:22">
      <c r="A45" s="1717" t="s">
        <v>1821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17" t="str">
        <f>'zásobník projektů 2023-2027'!M45</f>
        <v>průběžně</v>
      </c>
      <c r="F45" s="3"/>
      <c r="G45" s="1715">
        <f t="shared" si="9"/>
        <v>0.5</v>
      </c>
      <c r="H45" s="1719" t="s">
        <v>2059</v>
      </c>
      <c r="I45" s="2">
        <f t="shared" si="8"/>
        <v>7000000</v>
      </c>
    </row>
    <row r="46" spans="1:22">
      <c r="A46" s="1717" t="s">
        <v>1823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17" t="str">
        <f>'zásobník projektů 2023-2027'!M46</f>
        <v>2024-2025</v>
      </c>
      <c r="F46" s="3"/>
      <c r="G46" s="1715">
        <f t="shared" si="9"/>
        <v>0.8</v>
      </c>
      <c r="H46" s="1719" t="s">
        <v>2059</v>
      </c>
      <c r="I46" s="2">
        <f t="shared" si="8"/>
        <v>3000000</v>
      </c>
    </row>
    <row r="47" spans="1:22">
      <c r="A47" s="1717" t="s">
        <v>1952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17" t="str">
        <f>'zásobník projektů 2023-2027'!M47</f>
        <v>2024-2025</v>
      </c>
      <c r="F47" s="3"/>
      <c r="G47" s="1715">
        <f t="shared" si="9"/>
        <v>0.8</v>
      </c>
      <c r="H47" s="1719" t="s">
        <v>2059</v>
      </c>
      <c r="I47" s="2">
        <f t="shared" si="8"/>
        <v>3000000</v>
      </c>
    </row>
    <row r="48" spans="1:22">
      <c r="A48" s="1717" t="s">
        <v>1663</v>
      </c>
      <c r="B48" s="3">
        <v>110000000</v>
      </c>
      <c r="C48" s="3">
        <f>+B48*0.3</f>
        <v>33000000</v>
      </c>
      <c r="D48" s="3">
        <f t="shared" si="7"/>
        <v>77000000</v>
      </c>
      <c r="E48" s="1717">
        <f>'zásobník projektů 2023-2027'!M48</f>
        <v>0</v>
      </c>
      <c r="F48" s="3"/>
      <c r="G48" s="1715">
        <f t="shared" si="9"/>
        <v>0.3</v>
      </c>
      <c r="H48" s="1752" t="s">
        <v>2057</v>
      </c>
      <c r="V48" s="2">
        <f>+B48</f>
        <v>110000000</v>
      </c>
    </row>
    <row r="49" spans="1:22">
      <c r="A49" s="1717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17">
        <f>'zásobník projektů 2023-2027'!M49</f>
        <v>0</v>
      </c>
      <c r="F49" s="3"/>
      <c r="G49" s="1715">
        <f t="shared" si="9"/>
        <v>0.24566037735849056</v>
      </c>
      <c r="H49" s="1719" t="s">
        <v>2059</v>
      </c>
      <c r="I49" s="2">
        <f>+B49</f>
        <v>132500000</v>
      </c>
    </row>
    <row r="50" spans="1:22">
      <c r="A50" s="1717"/>
      <c r="E50" s="1717"/>
      <c r="F50" s="3"/>
    </row>
    <row r="51" spans="1:22">
      <c r="A51" s="1716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17"/>
      <c r="F51" s="3"/>
    </row>
    <row r="52" spans="1:22">
      <c r="A52" s="1717" t="s">
        <v>1824</v>
      </c>
      <c r="E52" s="1717"/>
      <c r="F52" s="3"/>
      <c r="G52" s="1715"/>
      <c r="H52" s="1719" t="s">
        <v>2059</v>
      </c>
    </row>
    <row r="53" spans="1:22">
      <c r="A53" s="1717" t="s">
        <v>1827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17" t="str">
        <f>'zásobník projektů 2023-2027'!M57</f>
        <v>2025-2026</v>
      </c>
      <c r="F53" s="3"/>
      <c r="G53" s="1715">
        <f t="shared" ref="G53:G57" si="12">+C53/B53</f>
        <v>0</v>
      </c>
      <c r="H53" s="1719" t="s">
        <v>2059</v>
      </c>
    </row>
    <row r="54" spans="1:22">
      <c r="A54" s="1717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17">
        <f>'zásobník projektů 2023-2027'!M58</f>
        <v>0</v>
      </c>
      <c r="F54" s="3"/>
      <c r="G54" s="1715" t="e">
        <f t="shared" si="12"/>
        <v>#DIV/0!</v>
      </c>
      <c r="H54" s="1719" t="s">
        <v>2059</v>
      </c>
    </row>
    <row r="55" spans="1:22">
      <c r="A55" s="1717" t="s">
        <v>1954</v>
      </c>
      <c r="E55" s="1717"/>
      <c r="F55" s="3"/>
      <c r="G55" s="1715"/>
      <c r="H55" s="1719" t="s">
        <v>2059</v>
      </c>
      <c r="V55" s="2">
        <f>+B55</f>
        <v>0</v>
      </c>
    </row>
    <row r="56" spans="1:22">
      <c r="A56" s="1717" t="s">
        <v>1956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17">
        <f>'zásobník projektů 2023-2027'!M60</f>
        <v>0</v>
      </c>
      <c r="F56" s="3"/>
      <c r="G56" s="1715" t="e">
        <f t="shared" si="12"/>
        <v>#DIV/0!</v>
      </c>
      <c r="H56" s="1719" t="s">
        <v>2059</v>
      </c>
      <c r="V56" s="2">
        <f>+B56</f>
        <v>0</v>
      </c>
    </row>
    <row r="57" spans="1:22">
      <c r="A57" s="1717" t="s">
        <v>1957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17">
        <f>'zásobník projektů 2023-2027'!M61</f>
        <v>0</v>
      </c>
      <c r="F57" s="3"/>
      <c r="G57" s="1715" t="e">
        <f t="shared" si="12"/>
        <v>#DIV/0!</v>
      </c>
      <c r="H57" s="1719" t="s">
        <v>2059</v>
      </c>
    </row>
    <row r="58" spans="1:22">
      <c r="A58" s="1717" t="s">
        <v>1240</v>
      </c>
      <c r="B58" s="3">
        <v>70000000</v>
      </c>
      <c r="C58" s="3">
        <v>0</v>
      </c>
      <c r="D58" s="3">
        <f t="shared" si="11"/>
        <v>70000000</v>
      </c>
      <c r="E58" s="1717"/>
      <c r="F58" s="3"/>
    </row>
    <row r="59" spans="1:22">
      <c r="E59" s="1717"/>
    </row>
    <row r="60" spans="1:22">
      <c r="E60" s="1717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16"/>
      <c r="G61" s="1753"/>
      <c r="H61" s="1713"/>
    </row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4" workbookViewId="0"/>
  </sheetViews>
  <sheetFormatPr defaultColWidth="8.86328125" defaultRowHeight="12.75"/>
  <cols>
    <col min="1" max="1" width="58.73046875" style="1457" customWidth="1"/>
    <col min="2" max="2" width="23" style="1457" customWidth="1"/>
    <col min="3" max="3" width="17.265625" style="1457" customWidth="1"/>
    <col min="4" max="4" width="29.86328125" style="1457" customWidth="1"/>
    <col min="5" max="5" width="29" style="1457" customWidth="1"/>
    <col min="6" max="6" width="27.73046875" style="1457" customWidth="1"/>
    <col min="7" max="7" width="22.265625" style="1457" customWidth="1"/>
    <col min="8" max="8" width="28.265625" style="1457" customWidth="1"/>
    <col min="9" max="9" width="23.265625" style="1457" customWidth="1"/>
    <col min="10" max="10" width="25" style="1457" customWidth="1"/>
    <col min="11" max="11" width="16.73046875" style="1457" customWidth="1"/>
    <col min="12" max="12" width="13.265625" style="1457" customWidth="1"/>
    <col min="13" max="13" width="9.86328125" style="1457" customWidth="1"/>
    <col min="14" max="14" width="11" style="1457" customWidth="1"/>
    <col min="15" max="16" width="9.73046875" style="1457" customWidth="1"/>
    <col min="17" max="17" width="10" style="1457" customWidth="1"/>
    <col min="18" max="19" width="17" style="1457" customWidth="1"/>
    <col min="20" max="256" width="8.86328125" style="1457"/>
    <col min="257" max="257" width="58.73046875" style="1457" customWidth="1"/>
    <col min="258" max="258" width="23" style="1457" customWidth="1"/>
    <col min="259" max="259" width="17.265625" style="1457" customWidth="1"/>
    <col min="260" max="260" width="29.86328125" style="1457" customWidth="1"/>
    <col min="261" max="261" width="29" style="1457" customWidth="1"/>
    <col min="262" max="262" width="27.73046875" style="1457" customWidth="1"/>
    <col min="263" max="263" width="22.265625" style="1457" customWidth="1"/>
    <col min="264" max="264" width="28.265625" style="1457" customWidth="1"/>
    <col min="265" max="265" width="23.265625" style="1457" customWidth="1"/>
    <col min="266" max="266" width="25" style="1457" customWidth="1"/>
    <col min="267" max="267" width="16.73046875" style="1457" customWidth="1"/>
    <col min="268" max="268" width="13.265625" style="1457" customWidth="1"/>
    <col min="269" max="269" width="9.86328125" style="1457" customWidth="1"/>
    <col min="270" max="270" width="11" style="1457" customWidth="1"/>
    <col min="271" max="272" width="9.73046875" style="1457" customWidth="1"/>
    <col min="273" max="273" width="10" style="1457" customWidth="1"/>
    <col min="274" max="275" width="17" style="1457" customWidth="1"/>
    <col min="276" max="512" width="8.86328125" style="1457"/>
    <col min="513" max="513" width="58.73046875" style="1457" customWidth="1"/>
    <col min="514" max="514" width="23" style="1457" customWidth="1"/>
    <col min="515" max="515" width="17.265625" style="1457" customWidth="1"/>
    <col min="516" max="516" width="29.86328125" style="1457" customWidth="1"/>
    <col min="517" max="517" width="29" style="1457" customWidth="1"/>
    <col min="518" max="518" width="27.73046875" style="1457" customWidth="1"/>
    <col min="519" max="519" width="22.265625" style="1457" customWidth="1"/>
    <col min="520" max="520" width="28.265625" style="1457" customWidth="1"/>
    <col min="521" max="521" width="23.265625" style="1457" customWidth="1"/>
    <col min="522" max="522" width="25" style="1457" customWidth="1"/>
    <col min="523" max="523" width="16.73046875" style="1457" customWidth="1"/>
    <col min="524" max="524" width="13.265625" style="1457" customWidth="1"/>
    <col min="525" max="525" width="9.86328125" style="1457" customWidth="1"/>
    <col min="526" max="526" width="11" style="1457" customWidth="1"/>
    <col min="527" max="528" width="9.73046875" style="1457" customWidth="1"/>
    <col min="529" max="529" width="10" style="1457" customWidth="1"/>
    <col min="530" max="531" width="17" style="1457" customWidth="1"/>
    <col min="532" max="768" width="8.86328125" style="1457"/>
    <col min="769" max="769" width="58.73046875" style="1457" customWidth="1"/>
    <col min="770" max="770" width="23" style="1457" customWidth="1"/>
    <col min="771" max="771" width="17.265625" style="1457" customWidth="1"/>
    <col min="772" max="772" width="29.86328125" style="1457" customWidth="1"/>
    <col min="773" max="773" width="29" style="1457" customWidth="1"/>
    <col min="774" max="774" width="27.73046875" style="1457" customWidth="1"/>
    <col min="775" max="775" width="22.265625" style="1457" customWidth="1"/>
    <col min="776" max="776" width="28.265625" style="1457" customWidth="1"/>
    <col min="777" max="777" width="23.265625" style="1457" customWidth="1"/>
    <col min="778" max="778" width="25" style="1457" customWidth="1"/>
    <col min="779" max="779" width="16.73046875" style="1457" customWidth="1"/>
    <col min="780" max="780" width="13.265625" style="1457" customWidth="1"/>
    <col min="781" max="781" width="9.86328125" style="1457" customWidth="1"/>
    <col min="782" max="782" width="11" style="1457" customWidth="1"/>
    <col min="783" max="784" width="9.73046875" style="1457" customWidth="1"/>
    <col min="785" max="785" width="10" style="1457" customWidth="1"/>
    <col min="786" max="787" width="17" style="1457" customWidth="1"/>
    <col min="788" max="1024" width="8.86328125" style="1457"/>
    <col min="1025" max="1025" width="58.73046875" style="1457" customWidth="1"/>
    <col min="1026" max="1026" width="23" style="1457" customWidth="1"/>
    <col min="1027" max="1027" width="17.265625" style="1457" customWidth="1"/>
    <col min="1028" max="1028" width="29.86328125" style="1457" customWidth="1"/>
    <col min="1029" max="1029" width="29" style="1457" customWidth="1"/>
    <col min="1030" max="1030" width="27.73046875" style="1457" customWidth="1"/>
    <col min="1031" max="1031" width="22.265625" style="1457" customWidth="1"/>
    <col min="1032" max="1032" width="28.265625" style="1457" customWidth="1"/>
    <col min="1033" max="1033" width="23.265625" style="1457" customWidth="1"/>
    <col min="1034" max="1034" width="25" style="1457" customWidth="1"/>
    <col min="1035" max="1035" width="16.73046875" style="1457" customWidth="1"/>
    <col min="1036" max="1036" width="13.265625" style="1457" customWidth="1"/>
    <col min="1037" max="1037" width="9.86328125" style="1457" customWidth="1"/>
    <col min="1038" max="1038" width="11" style="1457" customWidth="1"/>
    <col min="1039" max="1040" width="9.73046875" style="1457" customWidth="1"/>
    <col min="1041" max="1041" width="10" style="1457" customWidth="1"/>
    <col min="1042" max="1043" width="17" style="1457" customWidth="1"/>
    <col min="1044" max="1280" width="8.86328125" style="1457"/>
    <col min="1281" max="1281" width="58.73046875" style="1457" customWidth="1"/>
    <col min="1282" max="1282" width="23" style="1457" customWidth="1"/>
    <col min="1283" max="1283" width="17.265625" style="1457" customWidth="1"/>
    <col min="1284" max="1284" width="29.86328125" style="1457" customWidth="1"/>
    <col min="1285" max="1285" width="29" style="1457" customWidth="1"/>
    <col min="1286" max="1286" width="27.73046875" style="1457" customWidth="1"/>
    <col min="1287" max="1287" width="22.265625" style="1457" customWidth="1"/>
    <col min="1288" max="1288" width="28.265625" style="1457" customWidth="1"/>
    <col min="1289" max="1289" width="23.265625" style="1457" customWidth="1"/>
    <col min="1290" max="1290" width="25" style="1457" customWidth="1"/>
    <col min="1291" max="1291" width="16.73046875" style="1457" customWidth="1"/>
    <col min="1292" max="1292" width="13.265625" style="1457" customWidth="1"/>
    <col min="1293" max="1293" width="9.86328125" style="1457" customWidth="1"/>
    <col min="1294" max="1294" width="11" style="1457" customWidth="1"/>
    <col min="1295" max="1296" width="9.73046875" style="1457" customWidth="1"/>
    <col min="1297" max="1297" width="10" style="1457" customWidth="1"/>
    <col min="1298" max="1299" width="17" style="1457" customWidth="1"/>
    <col min="1300" max="1536" width="8.86328125" style="1457"/>
    <col min="1537" max="1537" width="58.73046875" style="1457" customWidth="1"/>
    <col min="1538" max="1538" width="23" style="1457" customWidth="1"/>
    <col min="1539" max="1539" width="17.265625" style="1457" customWidth="1"/>
    <col min="1540" max="1540" width="29.86328125" style="1457" customWidth="1"/>
    <col min="1541" max="1541" width="29" style="1457" customWidth="1"/>
    <col min="1542" max="1542" width="27.73046875" style="1457" customWidth="1"/>
    <col min="1543" max="1543" width="22.265625" style="1457" customWidth="1"/>
    <col min="1544" max="1544" width="28.265625" style="1457" customWidth="1"/>
    <col min="1545" max="1545" width="23.265625" style="1457" customWidth="1"/>
    <col min="1546" max="1546" width="25" style="1457" customWidth="1"/>
    <col min="1547" max="1547" width="16.73046875" style="1457" customWidth="1"/>
    <col min="1548" max="1548" width="13.265625" style="1457" customWidth="1"/>
    <col min="1549" max="1549" width="9.86328125" style="1457" customWidth="1"/>
    <col min="1550" max="1550" width="11" style="1457" customWidth="1"/>
    <col min="1551" max="1552" width="9.73046875" style="1457" customWidth="1"/>
    <col min="1553" max="1553" width="10" style="1457" customWidth="1"/>
    <col min="1554" max="1555" width="17" style="1457" customWidth="1"/>
    <col min="1556" max="1792" width="8.86328125" style="1457"/>
    <col min="1793" max="1793" width="58.73046875" style="1457" customWidth="1"/>
    <col min="1794" max="1794" width="23" style="1457" customWidth="1"/>
    <col min="1795" max="1795" width="17.265625" style="1457" customWidth="1"/>
    <col min="1796" max="1796" width="29.86328125" style="1457" customWidth="1"/>
    <col min="1797" max="1797" width="29" style="1457" customWidth="1"/>
    <col min="1798" max="1798" width="27.73046875" style="1457" customWidth="1"/>
    <col min="1799" max="1799" width="22.265625" style="1457" customWidth="1"/>
    <col min="1800" max="1800" width="28.265625" style="1457" customWidth="1"/>
    <col min="1801" max="1801" width="23.265625" style="1457" customWidth="1"/>
    <col min="1802" max="1802" width="25" style="1457" customWidth="1"/>
    <col min="1803" max="1803" width="16.73046875" style="1457" customWidth="1"/>
    <col min="1804" max="1804" width="13.265625" style="1457" customWidth="1"/>
    <col min="1805" max="1805" width="9.86328125" style="1457" customWidth="1"/>
    <col min="1806" max="1806" width="11" style="1457" customWidth="1"/>
    <col min="1807" max="1808" width="9.73046875" style="1457" customWidth="1"/>
    <col min="1809" max="1809" width="10" style="1457" customWidth="1"/>
    <col min="1810" max="1811" width="17" style="1457" customWidth="1"/>
    <col min="1812" max="2048" width="8.86328125" style="1457"/>
    <col min="2049" max="2049" width="58.73046875" style="1457" customWidth="1"/>
    <col min="2050" max="2050" width="23" style="1457" customWidth="1"/>
    <col min="2051" max="2051" width="17.265625" style="1457" customWidth="1"/>
    <col min="2052" max="2052" width="29.86328125" style="1457" customWidth="1"/>
    <col min="2053" max="2053" width="29" style="1457" customWidth="1"/>
    <col min="2054" max="2054" width="27.73046875" style="1457" customWidth="1"/>
    <col min="2055" max="2055" width="22.265625" style="1457" customWidth="1"/>
    <col min="2056" max="2056" width="28.265625" style="1457" customWidth="1"/>
    <col min="2057" max="2057" width="23.265625" style="1457" customWidth="1"/>
    <col min="2058" max="2058" width="25" style="1457" customWidth="1"/>
    <col min="2059" max="2059" width="16.73046875" style="1457" customWidth="1"/>
    <col min="2060" max="2060" width="13.265625" style="1457" customWidth="1"/>
    <col min="2061" max="2061" width="9.86328125" style="1457" customWidth="1"/>
    <col min="2062" max="2062" width="11" style="1457" customWidth="1"/>
    <col min="2063" max="2064" width="9.73046875" style="1457" customWidth="1"/>
    <col min="2065" max="2065" width="10" style="1457" customWidth="1"/>
    <col min="2066" max="2067" width="17" style="1457" customWidth="1"/>
    <col min="2068" max="2304" width="8.86328125" style="1457"/>
    <col min="2305" max="2305" width="58.73046875" style="1457" customWidth="1"/>
    <col min="2306" max="2306" width="23" style="1457" customWidth="1"/>
    <col min="2307" max="2307" width="17.265625" style="1457" customWidth="1"/>
    <col min="2308" max="2308" width="29.86328125" style="1457" customWidth="1"/>
    <col min="2309" max="2309" width="29" style="1457" customWidth="1"/>
    <col min="2310" max="2310" width="27.73046875" style="1457" customWidth="1"/>
    <col min="2311" max="2311" width="22.265625" style="1457" customWidth="1"/>
    <col min="2312" max="2312" width="28.265625" style="1457" customWidth="1"/>
    <col min="2313" max="2313" width="23.265625" style="1457" customWidth="1"/>
    <col min="2314" max="2314" width="25" style="1457" customWidth="1"/>
    <col min="2315" max="2315" width="16.73046875" style="1457" customWidth="1"/>
    <col min="2316" max="2316" width="13.265625" style="1457" customWidth="1"/>
    <col min="2317" max="2317" width="9.86328125" style="1457" customWidth="1"/>
    <col min="2318" max="2318" width="11" style="1457" customWidth="1"/>
    <col min="2319" max="2320" width="9.73046875" style="1457" customWidth="1"/>
    <col min="2321" max="2321" width="10" style="1457" customWidth="1"/>
    <col min="2322" max="2323" width="17" style="1457" customWidth="1"/>
    <col min="2324" max="2560" width="8.86328125" style="1457"/>
    <col min="2561" max="2561" width="58.73046875" style="1457" customWidth="1"/>
    <col min="2562" max="2562" width="23" style="1457" customWidth="1"/>
    <col min="2563" max="2563" width="17.265625" style="1457" customWidth="1"/>
    <col min="2564" max="2564" width="29.86328125" style="1457" customWidth="1"/>
    <col min="2565" max="2565" width="29" style="1457" customWidth="1"/>
    <col min="2566" max="2566" width="27.73046875" style="1457" customWidth="1"/>
    <col min="2567" max="2567" width="22.265625" style="1457" customWidth="1"/>
    <col min="2568" max="2568" width="28.265625" style="1457" customWidth="1"/>
    <col min="2569" max="2569" width="23.265625" style="1457" customWidth="1"/>
    <col min="2570" max="2570" width="25" style="1457" customWidth="1"/>
    <col min="2571" max="2571" width="16.73046875" style="1457" customWidth="1"/>
    <col min="2572" max="2572" width="13.265625" style="1457" customWidth="1"/>
    <col min="2573" max="2573" width="9.86328125" style="1457" customWidth="1"/>
    <col min="2574" max="2574" width="11" style="1457" customWidth="1"/>
    <col min="2575" max="2576" width="9.73046875" style="1457" customWidth="1"/>
    <col min="2577" max="2577" width="10" style="1457" customWidth="1"/>
    <col min="2578" max="2579" width="17" style="1457" customWidth="1"/>
    <col min="2580" max="2816" width="8.86328125" style="1457"/>
    <col min="2817" max="2817" width="58.73046875" style="1457" customWidth="1"/>
    <col min="2818" max="2818" width="23" style="1457" customWidth="1"/>
    <col min="2819" max="2819" width="17.265625" style="1457" customWidth="1"/>
    <col min="2820" max="2820" width="29.86328125" style="1457" customWidth="1"/>
    <col min="2821" max="2821" width="29" style="1457" customWidth="1"/>
    <col min="2822" max="2822" width="27.73046875" style="1457" customWidth="1"/>
    <col min="2823" max="2823" width="22.265625" style="1457" customWidth="1"/>
    <col min="2824" max="2824" width="28.265625" style="1457" customWidth="1"/>
    <col min="2825" max="2825" width="23.265625" style="1457" customWidth="1"/>
    <col min="2826" max="2826" width="25" style="1457" customWidth="1"/>
    <col min="2827" max="2827" width="16.73046875" style="1457" customWidth="1"/>
    <col min="2828" max="2828" width="13.265625" style="1457" customWidth="1"/>
    <col min="2829" max="2829" width="9.86328125" style="1457" customWidth="1"/>
    <col min="2830" max="2830" width="11" style="1457" customWidth="1"/>
    <col min="2831" max="2832" width="9.73046875" style="1457" customWidth="1"/>
    <col min="2833" max="2833" width="10" style="1457" customWidth="1"/>
    <col min="2834" max="2835" width="17" style="1457" customWidth="1"/>
    <col min="2836" max="3072" width="8.86328125" style="1457"/>
    <col min="3073" max="3073" width="58.73046875" style="1457" customWidth="1"/>
    <col min="3074" max="3074" width="23" style="1457" customWidth="1"/>
    <col min="3075" max="3075" width="17.265625" style="1457" customWidth="1"/>
    <col min="3076" max="3076" width="29.86328125" style="1457" customWidth="1"/>
    <col min="3077" max="3077" width="29" style="1457" customWidth="1"/>
    <col min="3078" max="3078" width="27.73046875" style="1457" customWidth="1"/>
    <col min="3079" max="3079" width="22.265625" style="1457" customWidth="1"/>
    <col min="3080" max="3080" width="28.265625" style="1457" customWidth="1"/>
    <col min="3081" max="3081" width="23.265625" style="1457" customWidth="1"/>
    <col min="3082" max="3082" width="25" style="1457" customWidth="1"/>
    <col min="3083" max="3083" width="16.73046875" style="1457" customWidth="1"/>
    <col min="3084" max="3084" width="13.265625" style="1457" customWidth="1"/>
    <col min="3085" max="3085" width="9.86328125" style="1457" customWidth="1"/>
    <col min="3086" max="3086" width="11" style="1457" customWidth="1"/>
    <col min="3087" max="3088" width="9.73046875" style="1457" customWidth="1"/>
    <col min="3089" max="3089" width="10" style="1457" customWidth="1"/>
    <col min="3090" max="3091" width="17" style="1457" customWidth="1"/>
    <col min="3092" max="3328" width="8.86328125" style="1457"/>
    <col min="3329" max="3329" width="58.73046875" style="1457" customWidth="1"/>
    <col min="3330" max="3330" width="23" style="1457" customWidth="1"/>
    <col min="3331" max="3331" width="17.265625" style="1457" customWidth="1"/>
    <col min="3332" max="3332" width="29.86328125" style="1457" customWidth="1"/>
    <col min="3333" max="3333" width="29" style="1457" customWidth="1"/>
    <col min="3334" max="3334" width="27.73046875" style="1457" customWidth="1"/>
    <col min="3335" max="3335" width="22.265625" style="1457" customWidth="1"/>
    <col min="3336" max="3336" width="28.265625" style="1457" customWidth="1"/>
    <col min="3337" max="3337" width="23.265625" style="1457" customWidth="1"/>
    <col min="3338" max="3338" width="25" style="1457" customWidth="1"/>
    <col min="3339" max="3339" width="16.73046875" style="1457" customWidth="1"/>
    <col min="3340" max="3340" width="13.265625" style="1457" customWidth="1"/>
    <col min="3341" max="3341" width="9.86328125" style="1457" customWidth="1"/>
    <col min="3342" max="3342" width="11" style="1457" customWidth="1"/>
    <col min="3343" max="3344" width="9.73046875" style="1457" customWidth="1"/>
    <col min="3345" max="3345" width="10" style="1457" customWidth="1"/>
    <col min="3346" max="3347" width="17" style="1457" customWidth="1"/>
    <col min="3348" max="3584" width="8.86328125" style="1457"/>
    <col min="3585" max="3585" width="58.73046875" style="1457" customWidth="1"/>
    <col min="3586" max="3586" width="23" style="1457" customWidth="1"/>
    <col min="3587" max="3587" width="17.265625" style="1457" customWidth="1"/>
    <col min="3588" max="3588" width="29.86328125" style="1457" customWidth="1"/>
    <col min="3589" max="3589" width="29" style="1457" customWidth="1"/>
    <col min="3590" max="3590" width="27.73046875" style="1457" customWidth="1"/>
    <col min="3591" max="3591" width="22.265625" style="1457" customWidth="1"/>
    <col min="3592" max="3592" width="28.265625" style="1457" customWidth="1"/>
    <col min="3593" max="3593" width="23.265625" style="1457" customWidth="1"/>
    <col min="3594" max="3594" width="25" style="1457" customWidth="1"/>
    <col min="3595" max="3595" width="16.73046875" style="1457" customWidth="1"/>
    <col min="3596" max="3596" width="13.265625" style="1457" customWidth="1"/>
    <col min="3597" max="3597" width="9.86328125" style="1457" customWidth="1"/>
    <col min="3598" max="3598" width="11" style="1457" customWidth="1"/>
    <col min="3599" max="3600" width="9.73046875" style="1457" customWidth="1"/>
    <col min="3601" max="3601" width="10" style="1457" customWidth="1"/>
    <col min="3602" max="3603" width="17" style="1457" customWidth="1"/>
    <col min="3604" max="3840" width="8.86328125" style="1457"/>
    <col min="3841" max="3841" width="58.73046875" style="1457" customWidth="1"/>
    <col min="3842" max="3842" width="23" style="1457" customWidth="1"/>
    <col min="3843" max="3843" width="17.265625" style="1457" customWidth="1"/>
    <col min="3844" max="3844" width="29.86328125" style="1457" customWidth="1"/>
    <col min="3845" max="3845" width="29" style="1457" customWidth="1"/>
    <col min="3846" max="3846" width="27.73046875" style="1457" customWidth="1"/>
    <col min="3847" max="3847" width="22.265625" style="1457" customWidth="1"/>
    <col min="3848" max="3848" width="28.265625" style="1457" customWidth="1"/>
    <col min="3849" max="3849" width="23.265625" style="1457" customWidth="1"/>
    <col min="3850" max="3850" width="25" style="1457" customWidth="1"/>
    <col min="3851" max="3851" width="16.73046875" style="1457" customWidth="1"/>
    <col min="3852" max="3852" width="13.265625" style="1457" customWidth="1"/>
    <col min="3853" max="3853" width="9.86328125" style="1457" customWidth="1"/>
    <col min="3854" max="3854" width="11" style="1457" customWidth="1"/>
    <col min="3855" max="3856" width="9.73046875" style="1457" customWidth="1"/>
    <col min="3857" max="3857" width="10" style="1457" customWidth="1"/>
    <col min="3858" max="3859" width="17" style="1457" customWidth="1"/>
    <col min="3860" max="4096" width="8.86328125" style="1457"/>
    <col min="4097" max="4097" width="58.73046875" style="1457" customWidth="1"/>
    <col min="4098" max="4098" width="23" style="1457" customWidth="1"/>
    <col min="4099" max="4099" width="17.265625" style="1457" customWidth="1"/>
    <col min="4100" max="4100" width="29.86328125" style="1457" customWidth="1"/>
    <col min="4101" max="4101" width="29" style="1457" customWidth="1"/>
    <col min="4102" max="4102" width="27.73046875" style="1457" customWidth="1"/>
    <col min="4103" max="4103" width="22.265625" style="1457" customWidth="1"/>
    <col min="4104" max="4104" width="28.265625" style="1457" customWidth="1"/>
    <col min="4105" max="4105" width="23.265625" style="1457" customWidth="1"/>
    <col min="4106" max="4106" width="25" style="1457" customWidth="1"/>
    <col min="4107" max="4107" width="16.73046875" style="1457" customWidth="1"/>
    <col min="4108" max="4108" width="13.265625" style="1457" customWidth="1"/>
    <col min="4109" max="4109" width="9.86328125" style="1457" customWidth="1"/>
    <col min="4110" max="4110" width="11" style="1457" customWidth="1"/>
    <col min="4111" max="4112" width="9.73046875" style="1457" customWidth="1"/>
    <col min="4113" max="4113" width="10" style="1457" customWidth="1"/>
    <col min="4114" max="4115" width="17" style="1457" customWidth="1"/>
    <col min="4116" max="4352" width="8.86328125" style="1457"/>
    <col min="4353" max="4353" width="58.73046875" style="1457" customWidth="1"/>
    <col min="4354" max="4354" width="23" style="1457" customWidth="1"/>
    <col min="4355" max="4355" width="17.265625" style="1457" customWidth="1"/>
    <col min="4356" max="4356" width="29.86328125" style="1457" customWidth="1"/>
    <col min="4357" max="4357" width="29" style="1457" customWidth="1"/>
    <col min="4358" max="4358" width="27.73046875" style="1457" customWidth="1"/>
    <col min="4359" max="4359" width="22.265625" style="1457" customWidth="1"/>
    <col min="4360" max="4360" width="28.265625" style="1457" customWidth="1"/>
    <col min="4361" max="4361" width="23.265625" style="1457" customWidth="1"/>
    <col min="4362" max="4362" width="25" style="1457" customWidth="1"/>
    <col min="4363" max="4363" width="16.73046875" style="1457" customWidth="1"/>
    <col min="4364" max="4364" width="13.265625" style="1457" customWidth="1"/>
    <col min="4365" max="4365" width="9.86328125" style="1457" customWidth="1"/>
    <col min="4366" max="4366" width="11" style="1457" customWidth="1"/>
    <col min="4367" max="4368" width="9.73046875" style="1457" customWidth="1"/>
    <col min="4369" max="4369" width="10" style="1457" customWidth="1"/>
    <col min="4370" max="4371" width="17" style="1457" customWidth="1"/>
    <col min="4372" max="4608" width="8.86328125" style="1457"/>
    <col min="4609" max="4609" width="58.73046875" style="1457" customWidth="1"/>
    <col min="4610" max="4610" width="23" style="1457" customWidth="1"/>
    <col min="4611" max="4611" width="17.265625" style="1457" customWidth="1"/>
    <col min="4612" max="4612" width="29.86328125" style="1457" customWidth="1"/>
    <col min="4613" max="4613" width="29" style="1457" customWidth="1"/>
    <col min="4614" max="4614" width="27.73046875" style="1457" customWidth="1"/>
    <col min="4615" max="4615" width="22.265625" style="1457" customWidth="1"/>
    <col min="4616" max="4616" width="28.265625" style="1457" customWidth="1"/>
    <col min="4617" max="4617" width="23.265625" style="1457" customWidth="1"/>
    <col min="4618" max="4618" width="25" style="1457" customWidth="1"/>
    <col min="4619" max="4619" width="16.73046875" style="1457" customWidth="1"/>
    <col min="4620" max="4620" width="13.265625" style="1457" customWidth="1"/>
    <col min="4621" max="4621" width="9.86328125" style="1457" customWidth="1"/>
    <col min="4622" max="4622" width="11" style="1457" customWidth="1"/>
    <col min="4623" max="4624" width="9.73046875" style="1457" customWidth="1"/>
    <col min="4625" max="4625" width="10" style="1457" customWidth="1"/>
    <col min="4626" max="4627" width="17" style="1457" customWidth="1"/>
    <col min="4628" max="4864" width="8.86328125" style="1457"/>
    <col min="4865" max="4865" width="58.73046875" style="1457" customWidth="1"/>
    <col min="4866" max="4866" width="23" style="1457" customWidth="1"/>
    <col min="4867" max="4867" width="17.265625" style="1457" customWidth="1"/>
    <col min="4868" max="4868" width="29.86328125" style="1457" customWidth="1"/>
    <col min="4869" max="4869" width="29" style="1457" customWidth="1"/>
    <col min="4870" max="4870" width="27.73046875" style="1457" customWidth="1"/>
    <col min="4871" max="4871" width="22.265625" style="1457" customWidth="1"/>
    <col min="4872" max="4872" width="28.265625" style="1457" customWidth="1"/>
    <col min="4873" max="4873" width="23.265625" style="1457" customWidth="1"/>
    <col min="4874" max="4874" width="25" style="1457" customWidth="1"/>
    <col min="4875" max="4875" width="16.73046875" style="1457" customWidth="1"/>
    <col min="4876" max="4876" width="13.265625" style="1457" customWidth="1"/>
    <col min="4877" max="4877" width="9.86328125" style="1457" customWidth="1"/>
    <col min="4878" max="4878" width="11" style="1457" customWidth="1"/>
    <col min="4879" max="4880" width="9.73046875" style="1457" customWidth="1"/>
    <col min="4881" max="4881" width="10" style="1457" customWidth="1"/>
    <col min="4882" max="4883" width="17" style="1457" customWidth="1"/>
    <col min="4884" max="5120" width="8.86328125" style="1457"/>
    <col min="5121" max="5121" width="58.73046875" style="1457" customWidth="1"/>
    <col min="5122" max="5122" width="23" style="1457" customWidth="1"/>
    <col min="5123" max="5123" width="17.265625" style="1457" customWidth="1"/>
    <col min="5124" max="5124" width="29.86328125" style="1457" customWidth="1"/>
    <col min="5125" max="5125" width="29" style="1457" customWidth="1"/>
    <col min="5126" max="5126" width="27.73046875" style="1457" customWidth="1"/>
    <col min="5127" max="5127" width="22.265625" style="1457" customWidth="1"/>
    <col min="5128" max="5128" width="28.265625" style="1457" customWidth="1"/>
    <col min="5129" max="5129" width="23.265625" style="1457" customWidth="1"/>
    <col min="5130" max="5130" width="25" style="1457" customWidth="1"/>
    <col min="5131" max="5131" width="16.73046875" style="1457" customWidth="1"/>
    <col min="5132" max="5132" width="13.265625" style="1457" customWidth="1"/>
    <col min="5133" max="5133" width="9.86328125" style="1457" customWidth="1"/>
    <col min="5134" max="5134" width="11" style="1457" customWidth="1"/>
    <col min="5135" max="5136" width="9.73046875" style="1457" customWidth="1"/>
    <col min="5137" max="5137" width="10" style="1457" customWidth="1"/>
    <col min="5138" max="5139" width="17" style="1457" customWidth="1"/>
    <col min="5140" max="5376" width="8.86328125" style="1457"/>
    <col min="5377" max="5377" width="58.73046875" style="1457" customWidth="1"/>
    <col min="5378" max="5378" width="23" style="1457" customWidth="1"/>
    <col min="5379" max="5379" width="17.265625" style="1457" customWidth="1"/>
    <col min="5380" max="5380" width="29.86328125" style="1457" customWidth="1"/>
    <col min="5381" max="5381" width="29" style="1457" customWidth="1"/>
    <col min="5382" max="5382" width="27.73046875" style="1457" customWidth="1"/>
    <col min="5383" max="5383" width="22.265625" style="1457" customWidth="1"/>
    <col min="5384" max="5384" width="28.265625" style="1457" customWidth="1"/>
    <col min="5385" max="5385" width="23.265625" style="1457" customWidth="1"/>
    <col min="5386" max="5386" width="25" style="1457" customWidth="1"/>
    <col min="5387" max="5387" width="16.73046875" style="1457" customWidth="1"/>
    <col min="5388" max="5388" width="13.265625" style="1457" customWidth="1"/>
    <col min="5389" max="5389" width="9.86328125" style="1457" customWidth="1"/>
    <col min="5390" max="5390" width="11" style="1457" customWidth="1"/>
    <col min="5391" max="5392" width="9.73046875" style="1457" customWidth="1"/>
    <col min="5393" max="5393" width="10" style="1457" customWidth="1"/>
    <col min="5394" max="5395" width="17" style="1457" customWidth="1"/>
    <col min="5396" max="5632" width="8.86328125" style="1457"/>
    <col min="5633" max="5633" width="58.73046875" style="1457" customWidth="1"/>
    <col min="5634" max="5634" width="23" style="1457" customWidth="1"/>
    <col min="5635" max="5635" width="17.265625" style="1457" customWidth="1"/>
    <col min="5636" max="5636" width="29.86328125" style="1457" customWidth="1"/>
    <col min="5637" max="5637" width="29" style="1457" customWidth="1"/>
    <col min="5638" max="5638" width="27.73046875" style="1457" customWidth="1"/>
    <col min="5639" max="5639" width="22.265625" style="1457" customWidth="1"/>
    <col min="5640" max="5640" width="28.265625" style="1457" customWidth="1"/>
    <col min="5641" max="5641" width="23.265625" style="1457" customWidth="1"/>
    <col min="5642" max="5642" width="25" style="1457" customWidth="1"/>
    <col min="5643" max="5643" width="16.73046875" style="1457" customWidth="1"/>
    <col min="5644" max="5644" width="13.265625" style="1457" customWidth="1"/>
    <col min="5645" max="5645" width="9.86328125" style="1457" customWidth="1"/>
    <col min="5646" max="5646" width="11" style="1457" customWidth="1"/>
    <col min="5647" max="5648" width="9.73046875" style="1457" customWidth="1"/>
    <col min="5649" max="5649" width="10" style="1457" customWidth="1"/>
    <col min="5650" max="5651" width="17" style="1457" customWidth="1"/>
    <col min="5652" max="5888" width="8.86328125" style="1457"/>
    <col min="5889" max="5889" width="58.73046875" style="1457" customWidth="1"/>
    <col min="5890" max="5890" width="23" style="1457" customWidth="1"/>
    <col min="5891" max="5891" width="17.265625" style="1457" customWidth="1"/>
    <col min="5892" max="5892" width="29.86328125" style="1457" customWidth="1"/>
    <col min="5893" max="5893" width="29" style="1457" customWidth="1"/>
    <col min="5894" max="5894" width="27.73046875" style="1457" customWidth="1"/>
    <col min="5895" max="5895" width="22.265625" style="1457" customWidth="1"/>
    <col min="5896" max="5896" width="28.265625" style="1457" customWidth="1"/>
    <col min="5897" max="5897" width="23.265625" style="1457" customWidth="1"/>
    <col min="5898" max="5898" width="25" style="1457" customWidth="1"/>
    <col min="5899" max="5899" width="16.73046875" style="1457" customWidth="1"/>
    <col min="5900" max="5900" width="13.265625" style="1457" customWidth="1"/>
    <col min="5901" max="5901" width="9.86328125" style="1457" customWidth="1"/>
    <col min="5902" max="5902" width="11" style="1457" customWidth="1"/>
    <col min="5903" max="5904" width="9.73046875" style="1457" customWidth="1"/>
    <col min="5905" max="5905" width="10" style="1457" customWidth="1"/>
    <col min="5906" max="5907" width="17" style="1457" customWidth="1"/>
    <col min="5908" max="6144" width="8.86328125" style="1457"/>
    <col min="6145" max="6145" width="58.73046875" style="1457" customWidth="1"/>
    <col min="6146" max="6146" width="23" style="1457" customWidth="1"/>
    <col min="6147" max="6147" width="17.265625" style="1457" customWidth="1"/>
    <col min="6148" max="6148" width="29.86328125" style="1457" customWidth="1"/>
    <col min="6149" max="6149" width="29" style="1457" customWidth="1"/>
    <col min="6150" max="6150" width="27.73046875" style="1457" customWidth="1"/>
    <col min="6151" max="6151" width="22.265625" style="1457" customWidth="1"/>
    <col min="6152" max="6152" width="28.265625" style="1457" customWidth="1"/>
    <col min="6153" max="6153" width="23.265625" style="1457" customWidth="1"/>
    <col min="6154" max="6154" width="25" style="1457" customWidth="1"/>
    <col min="6155" max="6155" width="16.73046875" style="1457" customWidth="1"/>
    <col min="6156" max="6156" width="13.265625" style="1457" customWidth="1"/>
    <col min="6157" max="6157" width="9.86328125" style="1457" customWidth="1"/>
    <col min="6158" max="6158" width="11" style="1457" customWidth="1"/>
    <col min="6159" max="6160" width="9.73046875" style="1457" customWidth="1"/>
    <col min="6161" max="6161" width="10" style="1457" customWidth="1"/>
    <col min="6162" max="6163" width="17" style="1457" customWidth="1"/>
    <col min="6164" max="6400" width="8.86328125" style="1457"/>
    <col min="6401" max="6401" width="58.73046875" style="1457" customWidth="1"/>
    <col min="6402" max="6402" width="23" style="1457" customWidth="1"/>
    <col min="6403" max="6403" width="17.265625" style="1457" customWidth="1"/>
    <col min="6404" max="6404" width="29.86328125" style="1457" customWidth="1"/>
    <col min="6405" max="6405" width="29" style="1457" customWidth="1"/>
    <col min="6406" max="6406" width="27.73046875" style="1457" customWidth="1"/>
    <col min="6407" max="6407" width="22.265625" style="1457" customWidth="1"/>
    <col min="6408" max="6408" width="28.265625" style="1457" customWidth="1"/>
    <col min="6409" max="6409" width="23.265625" style="1457" customWidth="1"/>
    <col min="6410" max="6410" width="25" style="1457" customWidth="1"/>
    <col min="6411" max="6411" width="16.73046875" style="1457" customWidth="1"/>
    <col min="6412" max="6412" width="13.265625" style="1457" customWidth="1"/>
    <col min="6413" max="6413" width="9.86328125" style="1457" customWidth="1"/>
    <col min="6414" max="6414" width="11" style="1457" customWidth="1"/>
    <col min="6415" max="6416" width="9.73046875" style="1457" customWidth="1"/>
    <col min="6417" max="6417" width="10" style="1457" customWidth="1"/>
    <col min="6418" max="6419" width="17" style="1457" customWidth="1"/>
    <col min="6420" max="6656" width="8.86328125" style="1457"/>
    <col min="6657" max="6657" width="58.73046875" style="1457" customWidth="1"/>
    <col min="6658" max="6658" width="23" style="1457" customWidth="1"/>
    <col min="6659" max="6659" width="17.265625" style="1457" customWidth="1"/>
    <col min="6660" max="6660" width="29.86328125" style="1457" customWidth="1"/>
    <col min="6661" max="6661" width="29" style="1457" customWidth="1"/>
    <col min="6662" max="6662" width="27.73046875" style="1457" customWidth="1"/>
    <col min="6663" max="6663" width="22.265625" style="1457" customWidth="1"/>
    <col min="6664" max="6664" width="28.265625" style="1457" customWidth="1"/>
    <col min="6665" max="6665" width="23.265625" style="1457" customWidth="1"/>
    <col min="6666" max="6666" width="25" style="1457" customWidth="1"/>
    <col min="6667" max="6667" width="16.73046875" style="1457" customWidth="1"/>
    <col min="6668" max="6668" width="13.265625" style="1457" customWidth="1"/>
    <col min="6669" max="6669" width="9.86328125" style="1457" customWidth="1"/>
    <col min="6670" max="6670" width="11" style="1457" customWidth="1"/>
    <col min="6671" max="6672" width="9.73046875" style="1457" customWidth="1"/>
    <col min="6673" max="6673" width="10" style="1457" customWidth="1"/>
    <col min="6674" max="6675" width="17" style="1457" customWidth="1"/>
    <col min="6676" max="6912" width="8.86328125" style="1457"/>
    <col min="6913" max="6913" width="58.73046875" style="1457" customWidth="1"/>
    <col min="6914" max="6914" width="23" style="1457" customWidth="1"/>
    <col min="6915" max="6915" width="17.265625" style="1457" customWidth="1"/>
    <col min="6916" max="6916" width="29.86328125" style="1457" customWidth="1"/>
    <col min="6917" max="6917" width="29" style="1457" customWidth="1"/>
    <col min="6918" max="6918" width="27.73046875" style="1457" customWidth="1"/>
    <col min="6919" max="6919" width="22.265625" style="1457" customWidth="1"/>
    <col min="6920" max="6920" width="28.265625" style="1457" customWidth="1"/>
    <col min="6921" max="6921" width="23.265625" style="1457" customWidth="1"/>
    <col min="6922" max="6922" width="25" style="1457" customWidth="1"/>
    <col min="6923" max="6923" width="16.73046875" style="1457" customWidth="1"/>
    <col min="6924" max="6924" width="13.265625" style="1457" customWidth="1"/>
    <col min="6925" max="6925" width="9.86328125" style="1457" customWidth="1"/>
    <col min="6926" max="6926" width="11" style="1457" customWidth="1"/>
    <col min="6927" max="6928" width="9.73046875" style="1457" customWidth="1"/>
    <col min="6929" max="6929" width="10" style="1457" customWidth="1"/>
    <col min="6930" max="6931" width="17" style="1457" customWidth="1"/>
    <col min="6932" max="7168" width="8.86328125" style="1457"/>
    <col min="7169" max="7169" width="58.73046875" style="1457" customWidth="1"/>
    <col min="7170" max="7170" width="23" style="1457" customWidth="1"/>
    <col min="7171" max="7171" width="17.265625" style="1457" customWidth="1"/>
    <col min="7172" max="7172" width="29.86328125" style="1457" customWidth="1"/>
    <col min="7173" max="7173" width="29" style="1457" customWidth="1"/>
    <col min="7174" max="7174" width="27.73046875" style="1457" customWidth="1"/>
    <col min="7175" max="7175" width="22.265625" style="1457" customWidth="1"/>
    <col min="7176" max="7176" width="28.265625" style="1457" customWidth="1"/>
    <col min="7177" max="7177" width="23.265625" style="1457" customWidth="1"/>
    <col min="7178" max="7178" width="25" style="1457" customWidth="1"/>
    <col min="7179" max="7179" width="16.73046875" style="1457" customWidth="1"/>
    <col min="7180" max="7180" width="13.265625" style="1457" customWidth="1"/>
    <col min="7181" max="7181" width="9.86328125" style="1457" customWidth="1"/>
    <col min="7182" max="7182" width="11" style="1457" customWidth="1"/>
    <col min="7183" max="7184" width="9.73046875" style="1457" customWidth="1"/>
    <col min="7185" max="7185" width="10" style="1457" customWidth="1"/>
    <col min="7186" max="7187" width="17" style="1457" customWidth="1"/>
    <col min="7188" max="7424" width="8.86328125" style="1457"/>
    <col min="7425" max="7425" width="58.73046875" style="1457" customWidth="1"/>
    <col min="7426" max="7426" width="23" style="1457" customWidth="1"/>
    <col min="7427" max="7427" width="17.265625" style="1457" customWidth="1"/>
    <col min="7428" max="7428" width="29.86328125" style="1457" customWidth="1"/>
    <col min="7429" max="7429" width="29" style="1457" customWidth="1"/>
    <col min="7430" max="7430" width="27.73046875" style="1457" customWidth="1"/>
    <col min="7431" max="7431" width="22.265625" style="1457" customWidth="1"/>
    <col min="7432" max="7432" width="28.265625" style="1457" customWidth="1"/>
    <col min="7433" max="7433" width="23.265625" style="1457" customWidth="1"/>
    <col min="7434" max="7434" width="25" style="1457" customWidth="1"/>
    <col min="7435" max="7435" width="16.73046875" style="1457" customWidth="1"/>
    <col min="7436" max="7436" width="13.265625" style="1457" customWidth="1"/>
    <col min="7437" max="7437" width="9.86328125" style="1457" customWidth="1"/>
    <col min="7438" max="7438" width="11" style="1457" customWidth="1"/>
    <col min="7439" max="7440" width="9.73046875" style="1457" customWidth="1"/>
    <col min="7441" max="7441" width="10" style="1457" customWidth="1"/>
    <col min="7442" max="7443" width="17" style="1457" customWidth="1"/>
    <col min="7444" max="7680" width="8.86328125" style="1457"/>
    <col min="7681" max="7681" width="58.73046875" style="1457" customWidth="1"/>
    <col min="7682" max="7682" width="23" style="1457" customWidth="1"/>
    <col min="7683" max="7683" width="17.265625" style="1457" customWidth="1"/>
    <col min="7684" max="7684" width="29.86328125" style="1457" customWidth="1"/>
    <col min="7685" max="7685" width="29" style="1457" customWidth="1"/>
    <col min="7686" max="7686" width="27.73046875" style="1457" customWidth="1"/>
    <col min="7687" max="7687" width="22.265625" style="1457" customWidth="1"/>
    <col min="7688" max="7688" width="28.265625" style="1457" customWidth="1"/>
    <col min="7689" max="7689" width="23.265625" style="1457" customWidth="1"/>
    <col min="7690" max="7690" width="25" style="1457" customWidth="1"/>
    <col min="7691" max="7691" width="16.73046875" style="1457" customWidth="1"/>
    <col min="7692" max="7692" width="13.265625" style="1457" customWidth="1"/>
    <col min="7693" max="7693" width="9.86328125" style="1457" customWidth="1"/>
    <col min="7694" max="7694" width="11" style="1457" customWidth="1"/>
    <col min="7695" max="7696" width="9.73046875" style="1457" customWidth="1"/>
    <col min="7697" max="7697" width="10" style="1457" customWidth="1"/>
    <col min="7698" max="7699" width="17" style="1457" customWidth="1"/>
    <col min="7700" max="7936" width="8.86328125" style="1457"/>
    <col min="7937" max="7937" width="58.73046875" style="1457" customWidth="1"/>
    <col min="7938" max="7938" width="23" style="1457" customWidth="1"/>
    <col min="7939" max="7939" width="17.265625" style="1457" customWidth="1"/>
    <col min="7940" max="7940" width="29.86328125" style="1457" customWidth="1"/>
    <col min="7941" max="7941" width="29" style="1457" customWidth="1"/>
    <col min="7942" max="7942" width="27.73046875" style="1457" customWidth="1"/>
    <col min="7943" max="7943" width="22.265625" style="1457" customWidth="1"/>
    <col min="7944" max="7944" width="28.265625" style="1457" customWidth="1"/>
    <col min="7945" max="7945" width="23.265625" style="1457" customWidth="1"/>
    <col min="7946" max="7946" width="25" style="1457" customWidth="1"/>
    <col min="7947" max="7947" width="16.73046875" style="1457" customWidth="1"/>
    <col min="7948" max="7948" width="13.265625" style="1457" customWidth="1"/>
    <col min="7949" max="7949" width="9.86328125" style="1457" customWidth="1"/>
    <col min="7950" max="7950" width="11" style="1457" customWidth="1"/>
    <col min="7951" max="7952" width="9.73046875" style="1457" customWidth="1"/>
    <col min="7953" max="7953" width="10" style="1457" customWidth="1"/>
    <col min="7954" max="7955" width="17" style="1457" customWidth="1"/>
    <col min="7956" max="8192" width="8.86328125" style="1457"/>
    <col min="8193" max="8193" width="58.73046875" style="1457" customWidth="1"/>
    <col min="8194" max="8194" width="23" style="1457" customWidth="1"/>
    <col min="8195" max="8195" width="17.265625" style="1457" customWidth="1"/>
    <col min="8196" max="8196" width="29.86328125" style="1457" customWidth="1"/>
    <col min="8197" max="8197" width="29" style="1457" customWidth="1"/>
    <col min="8198" max="8198" width="27.73046875" style="1457" customWidth="1"/>
    <col min="8199" max="8199" width="22.265625" style="1457" customWidth="1"/>
    <col min="8200" max="8200" width="28.265625" style="1457" customWidth="1"/>
    <col min="8201" max="8201" width="23.265625" style="1457" customWidth="1"/>
    <col min="8202" max="8202" width="25" style="1457" customWidth="1"/>
    <col min="8203" max="8203" width="16.73046875" style="1457" customWidth="1"/>
    <col min="8204" max="8204" width="13.265625" style="1457" customWidth="1"/>
    <col min="8205" max="8205" width="9.86328125" style="1457" customWidth="1"/>
    <col min="8206" max="8206" width="11" style="1457" customWidth="1"/>
    <col min="8207" max="8208" width="9.73046875" style="1457" customWidth="1"/>
    <col min="8209" max="8209" width="10" style="1457" customWidth="1"/>
    <col min="8210" max="8211" width="17" style="1457" customWidth="1"/>
    <col min="8212" max="8448" width="8.86328125" style="1457"/>
    <col min="8449" max="8449" width="58.73046875" style="1457" customWidth="1"/>
    <col min="8450" max="8450" width="23" style="1457" customWidth="1"/>
    <col min="8451" max="8451" width="17.265625" style="1457" customWidth="1"/>
    <col min="8452" max="8452" width="29.86328125" style="1457" customWidth="1"/>
    <col min="8453" max="8453" width="29" style="1457" customWidth="1"/>
    <col min="8454" max="8454" width="27.73046875" style="1457" customWidth="1"/>
    <col min="8455" max="8455" width="22.265625" style="1457" customWidth="1"/>
    <col min="8456" max="8456" width="28.265625" style="1457" customWidth="1"/>
    <col min="8457" max="8457" width="23.265625" style="1457" customWidth="1"/>
    <col min="8458" max="8458" width="25" style="1457" customWidth="1"/>
    <col min="8459" max="8459" width="16.73046875" style="1457" customWidth="1"/>
    <col min="8460" max="8460" width="13.265625" style="1457" customWidth="1"/>
    <col min="8461" max="8461" width="9.86328125" style="1457" customWidth="1"/>
    <col min="8462" max="8462" width="11" style="1457" customWidth="1"/>
    <col min="8463" max="8464" width="9.73046875" style="1457" customWidth="1"/>
    <col min="8465" max="8465" width="10" style="1457" customWidth="1"/>
    <col min="8466" max="8467" width="17" style="1457" customWidth="1"/>
    <col min="8468" max="8704" width="8.86328125" style="1457"/>
    <col min="8705" max="8705" width="58.73046875" style="1457" customWidth="1"/>
    <col min="8706" max="8706" width="23" style="1457" customWidth="1"/>
    <col min="8707" max="8707" width="17.265625" style="1457" customWidth="1"/>
    <col min="8708" max="8708" width="29.86328125" style="1457" customWidth="1"/>
    <col min="8709" max="8709" width="29" style="1457" customWidth="1"/>
    <col min="8710" max="8710" width="27.73046875" style="1457" customWidth="1"/>
    <col min="8711" max="8711" width="22.265625" style="1457" customWidth="1"/>
    <col min="8712" max="8712" width="28.265625" style="1457" customWidth="1"/>
    <col min="8713" max="8713" width="23.265625" style="1457" customWidth="1"/>
    <col min="8714" max="8714" width="25" style="1457" customWidth="1"/>
    <col min="8715" max="8715" width="16.73046875" style="1457" customWidth="1"/>
    <col min="8716" max="8716" width="13.265625" style="1457" customWidth="1"/>
    <col min="8717" max="8717" width="9.86328125" style="1457" customWidth="1"/>
    <col min="8718" max="8718" width="11" style="1457" customWidth="1"/>
    <col min="8719" max="8720" width="9.73046875" style="1457" customWidth="1"/>
    <col min="8721" max="8721" width="10" style="1457" customWidth="1"/>
    <col min="8722" max="8723" width="17" style="1457" customWidth="1"/>
    <col min="8724" max="8960" width="8.86328125" style="1457"/>
    <col min="8961" max="8961" width="58.73046875" style="1457" customWidth="1"/>
    <col min="8962" max="8962" width="23" style="1457" customWidth="1"/>
    <col min="8963" max="8963" width="17.265625" style="1457" customWidth="1"/>
    <col min="8964" max="8964" width="29.86328125" style="1457" customWidth="1"/>
    <col min="8965" max="8965" width="29" style="1457" customWidth="1"/>
    <col min="8966" max="8966" width="27.73046875" style="1457" customWidth="1"/>
    <col min="8967" max="8967" width="22.265625" style="1457" customWidth="1"/>
    <col min="8968" max="8968" width="28.265625" style="1457" customWidth="1"/>
    <col min="8969" max="8969" width="23.265625" style="1457" customWidth="1"/>
    <col min="8970" max="8970" width="25" style="1457" customWidth="1"/>
    <col min="8971" max="8971" width="16.73046875" style="1457" customWidth="1"/>
    <col min="8972" max="8972" width="13.265625" style="1457" customWidth="1"/>
    <col min="8973" max="8973" width="9.86328125" style="1457" customWidth="1"/>
    <col min="8974" max="8974" width="11" style="1457" customWidth="1"/>
    <col min="8975" max="8976" width="9.73046875" style="1457" customWidth="1"/>
    <col min="8977" max="8977" width="10" style="1457" customWidth="1"/>
    <col min="8978" max="8979" width="17" style="1457" customWidth="1"/>
    <col min="8980" max="9216" width="8.86328125" style="1457"/>
    <col min="9217" max="9217" width="58.73046875" style="1457" customWidth="1"/>
    <col min="9218" max="9218" width="23" style="1457" customWidth="1"/>
    <col min="9219" max="9219" width="17.265625" style="1457" customWidth="1"/>
    <col min="9220" max="9220" width="29.86328125" style="1457" customWidth="1"/>
    <col min="9221" max="9221" width="29" style="1457" customWidth="1"/>
    <col min="9222" max="9222" width="27.73046875" style="1457" customWidth="1"/>
    <col min="9223" max="9223" width="22.265625" style="1457" customWidth="1"/>
    <col min="9224" max="9224" width="28.265625" style="1457" customWidth="1"/>
    <col min="9225" max="9225" width="23.265625" style="1457" customWidth="1"/>
    <col min="9226" max="9226" width="25" style="1457" customWidth="1"/>
    <col min="9227" max="9227" width="16.73046875" style="1457" customWidth="1"/>
    <col min="9228" max="9228" width="13.265625" style="1457" customWidth="1"/>
    <col min="9229" max="9229" width="9.86328125" style="1457" customWidth="1"/>
    <col min="9230" max="9230" width="11" style="1457" customWidth="1"/>
    <col min="9231" max="9232" width="9.73046875" style="1457" customWidth="1"/>
    <col min="9233" max="9233" width="10" style="1457" customWidth="1"/>
    <col min="9234" max="9235" width="17" style="1457" customWidth="1"/>
    <col min="9236" max="9472" width="8.86328125" style="1457"/>
    <col min="9473" max="9473" width="58.73046875" style="1457" customWidth="1"/>
    <col min="9474" max="9474" width="23" style="1457" customWidth="1"/>
    <col min="9475" max="9475" width="17.265625" style="1457" customWidth="1"/>
    <col min="9476" max="9476" width="29.86328125" style="1457" customWidth="1"/>
    <col min="9477" max="9477" width="29" style="1457" customWidth="1"/>
    <col min="9478" max="9478" width="27.73046875" style="1457" customWidth="1"/>
    <col min="9479" max="9479" width="22.265625" style="1457" customWidth="1"/>
    <col min="9480" max="9480" width="28.265625" style="1457" customWidth="1"/>
    <col min="9481" max="9481" width="23.265625" style="1457" customWidth="1"/>
    <col min="9482" max="9482" width="25" style="1457" customWidth="1"/>
    <col min="9483" max="9483" width="16.73046875" style="1457" customWidth="1"/>
    <col min="9484" max="9484" width="13.265625" style="1457" customWidth="1"/>
    <col min="9485" max="9485" width="9.86328125" style="1457" customWidth="1"/>
    <col min="9486" max="9486" width="11" style="1457" customWidth="1"/>
    <col min="9487" max="9488" width="9.73046875" style="1457" customWidth="1"/>
    <col min="9489" max="9489" width="10" style="1457" customWidth="1"/>
    <col min="9490" max="9491" width="17" style="1457" customWidth="1"/>
    <col min="9492" max="9728" width="8.86328125" style="1457"/>
    <col min="9729" max="9729" width="58.73046875" style="1457" customWidth="1"/>
    <col min="9730" max="9730" width="23" style="1457" customWidth="1"/>
    <col min="9731" max="9731" width="17.265625" style="1457" customWidth="1"/>
    <col min="9732" max="9732" width="29.86328125" style="1457" customWidth="1"/>
    <col min="9733" max="9733" width="29" style="1457" customWidth="1"/>
    <col min="9734" max="9734" width="27.73046875" style="1457" customWidth="1"/>
    <col min="9735" max="9735" width="22.265625" style="1457" customWidth="1"/>
    <col min="9736" max="9736" width="28.265625" style="1457" customWidth="1"/>
    <col min="9737" max="9737" width="23.265625" style="1457" customWidth="1"/>
    <col min="9738" max="9738" width="25" style="1457" customWidth="1"/>
    <col min="9739" max="9739" width="16.73046875" style="1457" customWidth="1"/>
    <col min="9740" max="9740" width="13.265625" style="1457" customWidth="1"/>
    <col min="9741" max="9741" width="9.86328125" style="1457" customWidth="1"/>
    <col min="9742" max="9742" width="11" style="1457" customWidth="1"/>
    <col min="9743" max="9744" width="9.73046875" style="1457" customWidth="1"/>
    <col min="9745" max="9745" width="10" style="1457" customWidth="1"/>
    <col min="9746" max="9747" width="17" style="1457" customWidth="1"/>
    <col min="9748" max="9984" width="8.86328125" style="1457"/>
    <col min="9985" max="9985" width="58.73046875" style="1457" customWidth="1"/>
    <col min="9986" max="9986" width="23" style="1457" customWidth="1"/>
    <col min="9987" max="9987" width="17.265625" style="1457" customWidth="1"/>
    <col min="9988" max="9988" width="29.86328125" style="1457" customWidth="1"/>
    <col min="9989" max="9989" width="29" style="1457" customWidth="1"/>
    <col min="9990" max="9990" width="27.73046875" style="1457" customWidth="1"/>
    <col min="9991" max="9991" width="22.265625" style="1457" customWidth="1"/>
    <col min="9992" max="9992" width="28.265625" style="1457" customWidth="1"/>
    <col min="9993" max="9993" width="23.265625" style="1457" customWidth="1"/>
    <col min="9994" max="9994" width="25" style="1457" customWidth="1"/>
    <col min="9995" max="9995" width="16.73046875" style="1457" customWidth="1"/>
    <col min="9996" max="9996" width="13.265625" style="1457" customWidth="1"/>
    <col min="9997" max="9997" width="9.86328125" style="1457" customWidth="1"/>
    <col min="9998" max="9998" width="11" style="1457" customWidth="1"/>
    <col min="9999" max="10000" width="9.73046875" style="1457" customWidth="1"/>
    <col min="10001" max="10001" width="10" style="1457" customWidth="1"/>
    <col min="10002" max="10003" width="17" style="1457" customWidth="1"/>
    <col min="10004" max="10240" width="8.86328125" style="1457"/>
    <col min="10241" max="10241" width="58.73046875" style="1457" customWidth="1"/>
    <col min="10242" max="10242" width="23" style="1457" customWidth="1"/>
    <col min="10243" max="10243" width="17.265625" style="1457" customWidth="1"/>
    <col min="10244" max="10244" width="29.86328125" style="1457" customWidth="1"/>
    <col min="10245" max="10245" width="29" style="1457" customWidth="1"/>
    <col min="10246" max="10246" width="27.73046875" style="1457" customWidth="1"/>
    <col min="10247" max="10247" width="22.265625" style="1457" customWidth="1"/>
    <col min="10248" max="10248" width="28.265625" style="1457" customWidth="1"/>
    <col min="10249" max="10249" width="23.265625" style="1457" customWidth="1"/>
    <col min="10250" max="10250" width="25" style="1457" customWidth="1"/>
    <col min="10251" max="10251" width="16.73046875" style="1457" customWidth="1"/>
    <col min="10252" max="10252" width="13.265625" style="1457" customWidth="1"/>
    <col min="10253" max="10253" width="9.86328125" style="1457" customWidth="1"/>
    <col min="10254" max="10254" width="11" style="1457" customWidth="1"/>
    <col min="10255" max="10256" width="9.73046875" style="1457" customWidth="1"/>
    <col min="10257" max="10257" width="10" style="1457" customWidth="1"/>
    <col min="10258" max="10259" width="17" style="1457" customWidth="1"/>
    <col min="10260" max="10496" width="8.86328125" style="1457"/>
    <col min="10497" max="10497" width="58.73046875" style="1457" customWidth="1"/>
    <col min="10498" max="10498" width="23" style="1457" customWidth="1"/>
    <col min="10499" max="10499" width="17.265625" style="1457" customWidth="1"/>
    <col min="10500" max="10500" width="29.86328125" style="1457" customWidth="1"/>
    <col min="10501" max="10501" width="29" style="1457" customWidth="1"/>
    <col min="10502" max="10502" width="27.73046875" style="1457" customWidth="1"/>
    <col min="10503" max="10503" width="22.265625" style="1457" customWidth="1"/>
    <col min="10504" max="10504" width="28.265625" style="1457" customWidth="1"/>
    <col min="10505" max="10505" width="23.265625" style="1457" customWidth="1"/>
    <col min="10506" max="10506" width="25" style="1457" customWidth="1"/>
    <col min="10507" max="10507" width="16.73046875" style="1457" customWidth="1"/>
    <col min="10508" max="10508" width="13.265625" style="1457" customWidth="1"/>
    <col min="10509" max="10509" width="9.86328125" style="1457" customWidth="1"/>
    <col min="10510" max="10510" width="11" style="1457" customWidth="1"/>
    <col min="10511" max="10512" width="9.73046875" style="1457" customWidth="1"/>
    <col min="10513" max="10513" width="10" style="1457" customWidth="1"/>
    <col min="10514" max="10515" width="17" style="1457" customWidth="1"/>
    <col min="10516" max="10752" width="8.86328125" style="1457"/>
    <col min="10753" max="10753" width="58.73046875" style="1457" customWidth="1"/>
    <col min="10754" max="10754" width="23" style="1457" customWidth="1"/>
    <col min="10755" max="10755" width="17.265625" style="1457" customWidth="1"/>
    <col min="10756" max="10756" width="29.86328125" style="1457" customWidth="1"/>
    <col min="10757" max="10757" width="29" style="1457" customWidth="1"/>
    <col min="10758" max="10758" width="27.73046875" style="1457" customWidth="1"/>
    <col min="10759" max="10759" width="22.265625" style="1457" customWidth="1"/>
    <col min="10760" max="10760" width="28.265625" style="1457" customWidth="1"/>
    <col min="10761" max="10761" width="23.265625" style="1457" customWidth="1"/>
    <col min="10762" max="10762" width="25" style="1457" customWidth="1"/>
    <col min="10763" max="10763" width="16.73046875" style="1457" customWidth="1"/>
    <col min="10764" max="10764" width="13.265625" style="1457" customWidth="1"/>
    <col min="10765" max="10765" width="9.86328125" style="1457" customWidth="1"/>
    <col min="10766" max="10766" width="11" style="1457" customWidth="1"/>
    <col min="10767" max="10768" width="9.73046875" style="1457" customWidth="1"/>
    <col min="10769" max="10769" width="10" style="1457" customWidth="1"/>
    <col min="10770" max="10771" width="17" style="1457" customWidth="1"/>
    <col min="10772" max="11008" width="8.86328125" style="1457"/>
    <col min="11009" max="11009" width="58.73046875" style="1457" customWidth="1"/>
    <col min="11010" max="11010" width="23" style="1457" customWidth="1"/>
    <col min="11011" max="11011" width="17.265625" style="1457" customWidth="1"/>
    <col min="11012" max="11012" width="29.86328125" style="1457" customWidth="1"/>
    <col min="11013" max="11013" width="29" style="1457" customWidth="1"/>
    <col min="11014" max="11014" width="27.73046875" style="1457" customWidth="1"/>
    <col min="11015" max="11015" width="22.265625" style="1457" customWidth="1"/>
    <col min="11016" max="11016" width="28.265625" style="1457" customWidth="1"/>
    <col min="11017" max="11017" width="23.265625" style="1457" customWidth="1"/>
    <col min="11018" max="11018" width="25" style="1457" customWidth="1"/>
    <col min="11019" max="11019" width="16.73046875" style="1457" customWidth="1"/>
    <col min="11020" max="11020" width="13.265625" style="1457" customWidth="1"/>
    <col min="11021" max="11021" width="9.86328125" style="1457" customWidth="1"/>
    <col min="11022" max="11022" width="11" style="1457" customWidth="1"/>
    <col min="11023" max="11024" width="9.73046875" style="1457" customWidth="1"/>
    <col min="11025" max="11025" width="10" style="1457" customWidth="1"/>
    <col min="11026" max="11027" width="17" style="1457" customWidth="1"/>
    <col min="11028" max="11264" width="8.86328125" style="1457"/>
    <col min="11265" max="11265" width="58.73046875" style="1457" customWidth="1"/>
    <col min="11266" max="11266" width="23" style="1457" customWidth="1"/>
    <col min="11267" max="11267" width="17.265625" style="1457" customWidth="1"/>
    <col min="11268" max="11268" width="29.86328125" style="1457" customWidth="1"/>
    <col min="11269" max="11269" width="29" style="1457" customWidth="1"/>
    <col min="11270" max="11270" width="27.73046875" style="1457" customWidth="1"/>
    <col min="11271" max="11271" width="22.265625" style="1457" customWidth="1"/>
    <col min="11272" max="11272" width="28.265625" style="1457" customWidth="1"/>
    <col min="11273" max="11273" width="23.265625" style="1457" customWidth="1"/>
    <col min="11274" max="11274" width="25" style="1457" customWidth="1"/>
    <col min="11275" max="11275" width="16.73046875" style="1457" customWidth="1"/>
    <col min="11276" max="11276" width="13.265625" style="1457" customWidth="1"/>
    <col min="11277" max="11277" width="9.86328125" style="1457" customWidth="1"/>
    <col min="11278" max="11278" width="11" style="1457" customWidth="1"/>
    <col min="11279" max="11280" width="9.73046875" style="1457" customWidth="1"/>
    <col min="11281" max="11281" width="10" style="1457" customWidth="1"/>
    <col min="11282" max="11283" width="17" style="1457" customWidth="1"/>
    <col min="11284" max="11520" width="8.86328125" style="1457"/>
    <col min="11521" max="11521" width="58.73046875" style="1457" customWidth="1"/>
    <col min="11522" max="11522" width="23" style="1457" customWidth="1"/>
    <col min="11523" max="11523" width="17.265625" style="1457" customWidth="1"/>
    <col min="11524" max="11524" width="29.86328125" style="1457" customWidth="1"/>
    <col min="11525" max="11525" width="29" style="1457" customWidth="1"/>
    <col min="11526" max="11526" width="27.73046875" style="1457" customWidth="1"/>
    <col min="11527" max="11527" width="22.265625" style="1457" customWidth="1"/>
    <col min="11528" max="11528" width="28.265625" style="1457" customWidth="1"/>
    <col min="11529" max="11529" width="23.265625" style="1457" customWidth="1"/>
    <col min="11530" max="11530" width="25" style="1457" customWidth="1"/>
    <col min="11531" max="11531" width="16.73046875" style="1457" customWidth="1"/>
    <col min="11532" max="11532" width="13.265625" style="1457" customWidth="1"/>
    <col min="11533" max="11533" width="9.86328125" style="1457" customWidth="1"/>
    <col min="11534" max="11534" width="11" style="1457" customWidth="1"/>
    <col min="11535" max="11536" width="9.73046875" style="1457" customWidth="1"/>
    <col min="11537" max="11537" width="10" style="1457" customWidth="1"/>
    <col min="11538" max="11539" width="17" style="1457" customWidth="1"/>
    <col min="11540" max="11776" width="8.86328125" style="1457"/>
    <col min="11777" max="11777" width="58.73046875" style="1457" customWidth="1"/>
    <col min="11778" max="11778" width="23" style="1457" customWidth="1"/>
    <col min="11779" max="11779" width="17.265625" style="1457" customWidth="1"/>
    <col min="11780" max="11780" width="29.86328125" style="1457" customWidth="1"/>
    <col min="11781" max="11781" width="29" style="1457" customWidth="1"/>
    <col min="11782" max="11782" width="27.73046875" style="1457" customWidth="1"/>
    <col min="11783" max="11783" width="22.265625" style="1457" customWidth="1"/>
    <col min="11784" max="11784" width="28.265625" style="1457" customWidth="1"/>
    <col min="11785" max="11785" width="23.265625" style="1457" customWidth="1"/>
    <col min="11786" max="11786" width="25" style="1457" customWidth="1"/>
    <col min="11787" max="11787" width="16.73046875" style="1457" customWidth="1"/>
    <col min="11788" max="11788" width="13.265625" style="1457" customWidth="1"/>
    <col min="11789" max="11789" width="9.86328125" style="1457" customWidth="1"/>
    <col min="11790" max="11790" width="11" style="1457" customWidth="1"/>
    <col min="11791" max="11792" width="9.73046875" style="1457" customWidth="1"/>
    <col min="11793" max="11793" width="10" style="1457" customWidth="1"/>
    <col min="11794" max="11795" width="17" style="1457" customWidth="1"/>
    <col min="11796" max="12032" width="8.86328125" style="1457"/>
    <col min="12033" max="12033" width="58.73046875" style="1457" customWidth="1"/>
    <col min="12034" max="12034" width="23" style="1457" customWidth="1"/>
    <col min="12035" max="12035" width="17.265625" style="1457" customWidth="1"/>
    <col min="12036" max="12036" width="29.86328125" style="1457" customWidth="1"/>
    <col min="12037" max="12037" width="29" style="1457" customWidth="1"/>
    <col min="12038" max="12038" width="27.73046875" style="1457" customWidth="1"/>
    <col min="12039" max="12039" width="22.265625" style="1457" customWidth="1"/>
    <col min="12040" max="12040" width="28.265625" style="1457" customWidth="1"/>
    <col min="12041" max="12041" width="23.265625" style="1457" customWidth="1"/>
    <col min="12042" max="12042" width="25" style="1457" customWidth="1"/>
    <col min="12043" max="12043" width="16.73046875" style="1457" customWidth="1"/>
    <col min="12044" max="12044" width="13.265625" style="1457" customWidth="1"/>
    <col min="12045" max="12045" width="9.86328125" style="1457" customWidth="1"/>
    <col min="12046" max="12046" width="11" style="1457" customWidth="1"/>
    <col min="12047" max="12048" width="9.73046875" style="1457" customWidth="1"/>
    <col min="12049" max="12049" width="10" style="1457" customWidth="1"/>
    <col min="12050" max="12051" width="17" style="1457" customWidth="1"/>
    <col min="12052" max="12288" width="8.86328125" style="1457"/>
    <col min="12289" max="12289" width="58.73046875" style="1457" customWidth="1"/>
    <col min="12290" max="12290" width="23" style="1457" customWidth="1"/>
    <col min="12291" max="12291" width="17.265625" style="1457" customWidth="1"/>
    <col min="12292" max="12292" width="29.86328125" style="1457" customWidth="1"/>
    <col min="12293" max="12293" width="29" style="1457" customWidth="1"/>
    <col min="12294" max="12294" width="27.73046875" style="1457" customWidth="1"/>
    <col min="12295" max="12295" width="22.265625" style="1457" customWidth="1"/>
    <col min="12296" max="12296" width="28.265625" style="1457" customWidth="1"/>
    <col min="12297" max="12297" width="23.265625" style="1457" customWidth="1"/>
    <col min="12298" max="12298" width="25" style="1457" customWidth="1"/>
    <col min="12299" max="12299" width="16.73046875" style="1457" customWidth="1"/>
    <col min="12300" max="12300" width="13.265625" style="1457" customWidth="1"/>
    <col min="12301" max="12301" width="9.86328125" style="1457" customWidth="1"/>
    <col min="12302" max="12302" width="11" style="1457" customWidth="1"/>
    <col min="12303" max="12304" width="9.73046875" style="1457" customWidth="1"/>
    <col min="12305" max="12305" width="10" style="1457" customWidth="1"/>
    <col min="12306" max="12307" width="17" style="1457" customWidth="1"/>
    <col min="12308" max="12544" width="8.86328125" style="1457"/>
    <col min="12545" max="12545" width="58.73046875" style="1457" customWidth="1"/>
    <col min="12546" max="12546" width="23" style="1457" customWidth="1"/>
    <col min="12547" max="12547" width="17.265625" style="1457" customWidth="1"/>
    <col min="12548" max="12548" width="29.86328125" style="1457" customWidth="1"/>
    <col min="12549" max="12549" width="29" style="1457" customWidth="1"/>
    <col min="12550" max="12550" width="27.73046875" style="1457" customWidth="1"/>
    <col min="12551" max="12551" width="22.265625" style="1457" customWidth="1"/>
    <col min="12552" max="12552" width="28.265625" style="1457" customWidth="1"/>
    <col min="12553" max="12553" width="23.265625" style="1457" customWidth="1"/>
    <col min="12554" max="12554" width="25" style="1457" customWidth="1"/>
    <col min="12555" max="12555" width="16.73046875" style="1457" customWidth="1"/>
    <col min="12556" max="12556" width="13.265625" style="1457" customWidth="1"/>
    <col min="12557" max="12557" width="9.86328125" style="1457" customWidth="1"/>
    <col min="12558" max="12558" width="11" style="1457" customWidth="1"/>
    <col min="12559" max="12560" width="9.73046875" style="1457" customWidth="1"/>
    <col min="12561" max="12561" width="10" style="1457" customWidth="1"/>
    <col min="12562" max="12563" width="17" style="1457" customWidth="1"/>
    <col min="12564" max="12800" width="8.86328125" style="1457"/>
    <col min="12801" max="12801" width="58.73046875" style="1457" customWidth="1"/>
    <col min="12802" max="12802" width="23" style="1457" customWidth="1"/>
    <col min="12803" max="12803" width="17.265625" style="1457" customWidth="1"/>
    <col min="12804" max="12804" width="29.86328125" style="1457" customWidth="1"/>
    <col min="12805" max="12805" width="29" style="1457" customWidth="1"/>
    <col min="12806" max="12806" width="27.73046875" style="1457" customWidth="1"/>
    <col min="12807" max="12807" width="22.265625" style="1457" customWidth="1"/>
    <col min="12808" max="12808" width="28.265625" style="1457" customWidth="1"/>
    <col min="12809" max="12809" width="23.265625" style="1457" customWidth="1"/>
    <col min="12810" max="12810" width="25" style="1457" customWidth="1"/>
    <col min="12811" max="12811" width="16.73046875" style="1457" customWidth="1"/>
    <col min="12812" max="12812" width="13.265625" style="1457" customWidth="1"/>
    <col min="12813" max="12813" width="9.86328125" style="1457" customWidth="1"/>
    <col min="12814" max="12814" width="11" style="1457" customWidth="1"/>
    <col min="12815" max="12816" width="9.73046875" style="1457" customWidth="1"/>
    <col min="12817" max="12817" width="10" style="1457" customWidth="1"/>
    <col min="12818" max="12819" width="17" style="1457" customWidth="1"/>
    <col min="12820" max="13056" width="8.86328125" style="1457"/>
    <col min="13057" max="13057" width="58.73046875" style="1457" customWidth="1"/>
    <col min="13058" max="13058" width="23" style="1457" customWidth="1"/>
    <col min="13059" max="13059" width="17.265625" style="1457" customWidth="1"/>
    <col min="13060" max="13060" width="29.86328125" style="1457" customWidth="1"/>
    <col min="13061" max="13061" width="29" style="1457" customWidth="1"/>
    <col min="13062" max="13062" width="27.73046875" style="1457" customWidth="1"/>
    <col min="13063" max="13063" width="22.265625" style="1457" customWidth="1"/>
    <col min="13064" max="13064" width="28.265625" style="1457" customWidth="1"/>
    <col min="13065" max="13065" width="23.265625" style="1457" customWidth="1"/>
    <col min="13066" max="13066" width="25" style="1457" customWidth="1"/>
    <col min="13067" max="13067" width="16.73046875" style="1457" customWidth="1"/>
    <col min="13068" max="13068" width="13.265625" style="1457" customWidth="1"/>
    <col min="13069" max="13069" width="9.86328125" style="1457" customWidth="1"/>
    <col min="13070" max="13070" width="11" style="1457" customWidth="1"/>
    <col min="13071" max="13072" width="9.73046875" style="1457" customWidth="1"/>
    <col min="13073" max="13073" width="10" style="1457" customWidth="1"/>
    <col min="13074" max="13075" width="17" style="1457" customWidth="1"/>
    <col min="13076" max="13312" width="8.86328125" style="1457"/>
    <col min="13313" max="13313" width="58.73046875" style="1457" customWidth="1"/>
    <col min="13314" max="13314" width="23" style="1457" customWidth="1"/>
    <col min="13315" max="13315" width="17.265625" style="1457" customWidth="1"/>
    <col min="13316" max="13316" width="29.86328125" style="1457" customWidth="1"/>
    <col min="13317" max="13317" width="29" style="1457" customWidth="1"/>
    <col min="13318" max="13318" width="27.73046875" style="1457" customWidth="1"/>
    <col min="13319" max="13319" width="22.265625" style="1457" customWidth="1"/>
    <col min="13320" max="13320" width="28.265625" style="1457" customWidth="1"/>
    <col min="13321" max="13321" width="23.265625" style="1457" customWidth="1"/>
    <col min="13322" max="13322" width="25" style="1457" customWidth="1"/>
    <col min="13323" max="13323" width="16.73046875" style="1457" customWidth="1"/>
    <col min="13324" max="13324" width="13.265625" style="1457" customWidth="1"/>
    <col min="13325" max="13325" width="9.86328125" style="1457" customWidth="1"/>
    <col min="13326" max="13326" width="11" style="1457" customWidth="1"/>
    <col min="13327" max="13328" width="9.73046875" style="1457" customWidth="1"/>
    <col min="13329" max="13329" width="10" style="1457" customWidth="1"/>
    <col min="13330" max="13331" width="17" style="1457" customWidth="1"/>
    <col min="13332" max="13568" width="8.86328125" style="1457"/>
    <col min="13569" max="13569" width="58.73046875" style="1457" customWidth="1"/>
    <col min="13570" max="13570" width="23" style="1457" customWidth="1"/>
    <col min="13571" max="13571" width="17.265625" style="1457" customWidth="1"/>
    <col min="13572" max="13572" width="29.86328125" style="1457" customWidth="1"/>
    <col min="13573" max="13573" width="29" style="1457" customWidth="1"/>
    <col min="13574" max="13574" width="27.73046875" style="1457" customWidth="1"/>
    <col min="13575" max="13575" width="22.265625" style="1457" customWidth="1"/>
    <col min="13576" max="13576" width="28.265625" style="1457" customWidth="1"/>
    <col min="13577" max="13577" width="23.265625" style="1457" customWidth="1"/>
    <col min="13578" max="13578" width="25" style="1457" customWidth="1"/>
    <col min="13579" max="13579" width="16.73046875" style="1457" customWidth="1"/>
    <col min="13580" max="13580" width="13.265625" style="1457" customWidth="1"/>
    <col min="13581" max="13581" width="9.86328125" style="1457" customWidth="1"/>
    <col min="13582" max="13582" width="11" style="1457" customWidth="1"/>
    <col min="13583" max="13584" width="9.73046875" style="1457" customWidth="1"/>
    <col min="13585" max="13585" width="10" style="1457" customWidth="1"/>
    <col min="13586" max="13587" width="17" style="1457" customWidth="1"/>
    <col min="13588" max="13824" width="8.86328125" style="1457"/>
    <col min="13825" max="13825" width="58.73046875" style="1457" customWidth="1"/>
    <col min="13826" max="13826" width="23" style="1457" customWidth="1"/>
    <col min="13827" max="13827" width="17.265625" style="1457" customWidth="1"/>
    <col min="13828" max="13828" width="29.86328125" style="1457" customWidth="1"/>
    <col min="13829" max="13829" width="29" style="1457" customWidth="1"/>
    <col min="13830" max="13830" width="27.73046875" style="1457" customWidth="1"/>
    <col min="13831" max="13831" width="22.265625" style="1457" customWidth="1"/>
    <col min="13832" max="13832" width="28.265625" style="1457" customWidth="1"/>
    <col min="13833" max="13833" width="23.265625" style="1457" customWidth="1"/>
    <col min="13834" max="13834" width="25" style="1457" customWidth="1"/>
    <col min="13835" max="13835" width="16.73046875" style="1457" customWidth="1"/>
    <col min="13836" max="13836" width="13.265625" style="1457" customWidth="1"/>
    <col min="13837" max="13837" width="9.86328125" style="1457" customWidth="1"/>
    <col min="13838" max="13838" width="11" style="1457" customWidth="1"/>
    <col min="13839" max="13840" width="9.73046875" style="1457" customWidth="1"/>
    <col min="13841" max="13841" width="10" style="1457" customWidth="1"/>
    <col min="13842" max="13843" width="17" style="1457" customWidth="1"/>
    <col min="13844" max="14080" width="8.86328125" style="1457"/>
    <col min="14081" max="14081" width="58.73046875" style="1457" customWidth="1"/>
    <col min="14082" max="14082" width="23" style="1457" customWidth="1"/>
    <col min="14083" max="14083" width="17.265625" style="1457" customWidth="1"/>
    <col min="14084" max="14084" width="29.86328125" style="1457" customWidth="1"/>
    <col min="14085" max="14085" width="29" style="1457" customWidth="1"/>
    <col min="14086" max="14086" width="27.73046875" style="1457" customWidth="1"/>
    <col min="14087" max="14087" width="22.265625" style="1457" customWidth="1"/>
    <col min="14088" max="14088" width="28.265625" style="1457" customWidth="1"/>
    <col min="14089" max="14089" width="23.265625" style="1457" customWidth="1"/>
    <col min="14090" max="14090" width="25" style="1457" customWidth="1"/>
    <col min="14091" max="14091" width="16.73046875" style="1457" customWidth="1"/>
    <col min="14092" max="14092" width="13.265625" style="1457" customWidth="1"/>
    <col min="14093" max="14093" width="9.86328125" style="1457" customWidth="1"/>
    <col min="14094" max="14094" width="11" style="1457" customWidth="1"/>
    <col min="14095" max="14096" width="9.73046875" style="1457" customWidth="1"/>
    <col min="14097" max="14097" width="10" style="1457" customWidth="1"/>
    <col min="14098" max="14099" width="17" style="1457" customWidth="1"/>
    <col min="14100" max="14336" width="8.86328125" style="1457"/>
    <col min="14337" max="14337" width="58.73046875" style="1457" customWidth="1"/>
    <col min="14338" max="14338" width="23" style="1457" customWidth="1"/>
    <col min="14339" max="14339" width="17.265625" style="1457" customWidth="1"/>
    <col min="14340" max="14340" width="29.86328125" style="1457" customWidth="1"/>
    <col min="14341" max="14341" width="29" style="1457" customWidth="1"/>
    <col min="14342" max="14342" width="27.73046875" style="1457" customWidth="1"/>
    <col min="14343" max="14343" width="22.265625" style="1457" customWidth="1"/>
    <col min="14344" max="14344" width="28.265625" style="1457" customWidth="1"/>
    <col min="14345" max="14345" width="23.265625" style="1457" customWidth="1"/>
    <col min="14346" max="14346" width="25" style="1457" customWidth="1"/>
    <col min="14347" max="14347" width="16.73046875" style="1457" customWidth="1"/>
    <col min="14348" max="14348" width="13.265625" style="1457" customWidth="1"/>
    <col min="14349" max="14349" width="9.86328125" style="1457" customWidth="1"/>
    <col min="14350" max="14350" width="11" style="1457" customWidth="1"/>
    <col min="14351" max="14352" width="9.73046875" style="1457" customWidth="1"/>
    <col min="14353" max="14353" width="10" style="1457" customWidth="1"/>
    <col min="14354" max="14355" width="17" style="1457" customWidth="1"/>
    <col min="14356" max="14592" width="8.86328125" style="1457"/>
    <col min="14593" max="14593" width="58.73046875" style="1457" customWidth="1"/>
    <col min="14594" max="14594" width="23" style="1457" customWidth="1"/>
    <col min="14595" max="14595" width="17.265625" style="1457" customWidth="1"/>
    <col min="14596" max="14596" width="29.86328125" style="1457" customWidth="1"/>
    <col min="14597" max="14597" width="29" style="1457" customWidth="1"/>
    <col min="14598" max="14598" width="27.73046875" style="1457" customWidth="1"/>
    <col min="14599" max="14599" width="22.265625" style="1457" customWidth="1"/>
    <col min="14600" max="14600" width="28.265625" style="1457" customWidth="1"/>
    <col min="14601" max="14601" width="23.265625" style="1457" customWidth="1"/>
    <col min="14602" max="14602" width="25" style="1457" customWidth="1"/>
    <col min="14603" max="14603" width="16.73046875" style="1457" customWidth="1"/>
    <col min="14604" max="14604" width="13.265625" style="1457" customWidth="1"/>
    <col min="14605" max="14605" width="9.86328125" style="1457" customWidth="1"/>
    <col min="14606" max="14606" width="11" style="1457" customWidth="1"/>
    <col min="14607" max="14608" width="9.73046875" style="1457" customWidth="1"/>
    <col min="14609" max="14609" width="10" style="1457" customWidth="1"/>
    <col min="14610" max="14611" width="17" style="1457" customWidth="1"/>
    <col min="14612" max="14848" width="8.86328125" style="1457"/>
    <col min="14849" max="14849" width="58.73046875" style="1457" customWidth="1"/>
    <col min="14850" max="14850" width="23" style="1457" customWidth="1"/>
    <col min="14851" max="14851" width="17.265625" style="1457" customWidth="1"/>
    <col min="14852" max="14852" width="29.86328125" style="1457" customWidth="1"/>
    <col min="14853" max="14853" width="29" style="1457" customWidth="1"/>
    <col min="14854" max="14854" width="27.73046875" style="1457" customWidth="1"/>
    <col min="14855" max="14855" width="22.265625" style="1457" customWidth="1"/>
    <col min="14856" max="14856" width="28.265625" style="1457" customWidth="1"/>
    <col min="14857" max="14857" width="23.265625" style="1457" customWidth="1"/>
    <col min="14858" max="14858" width="25" style="1457" customWidth="1"/>
    <col min="14859" max="14859" width="16.73046875" style="1457" customWidth="1"/>
    <col min="14860" max="14860" width="13.265625" style="1457" customWidth="1"/>
    <col min="14861" max="14861" width="9.86328125" style="1457" customWidth="1"/>
    <col min="14862" max="14862" width="11" style="1457" customWidth="1"/>
    <col min="14863" max="14864" width="9.73046875" style="1457" customWidth="1"/>
    <col min="14865" max="14865" width="10" style="1457" customWidth="1"/>
    <col min="14866" max="14867" width="17" style="1457" customWidth="1"/>
    <col min="14868" max="15104" width="8.86328125" style="1457"/>
    <col min="15105" max="15105" width="58.73046875" style="1457" customWidth="1"/>
    <col min="15106" max="15106" width="23" style="1457" customWidth="1"/>
    <col min="15107" max="15107" width="17.265625" style="1457" customWidth="1"/>
    <col min="15108" max="15108" width="29.86328125" style="1457" customWidth="1"/>
    <col min="15109" max="15109" width="29" style="1457" customWidth="1"/>
    <col min="15110" max="15110" width="27.73046875" style="1457" customWidth="1"/>
    <col min="15111" max="15111" width="22.265625" style="1457" customWidth="1"/>
    <col min="15112" max="15112" width="28.265625" style="1457" customWidth="1"/>
    <col min="15113" max="15113" width="23.265625" style="1457" customWidth="1"/>
    <col min="15114" max="15114" width="25" style="1457" customWidth="1"/>
    <col min="15115" max="15115" width="16.73046875" style="1457" customWidth="1"/>
    <col min="15116" max="15116" width="13.265625" style="1457" customWidth="1"/>
    <col min="15117" max="15117" width="9.86328125" style="1457" customWidth="1"/>
    <col min="15118" max="15118" width="11" style="1457" customWidth="1"/>
    <col min="15119" max="15120" width="9.73046875" style="1457" customWidth="1"/>
    <col min="15121" max="15121" width="10" style="1457" customWidth="1"/>
    <col min="15122" max="15123" width="17" style="1457" customWidth="1"/>
    <col min="15124" max="15360" width="8.86328125" style="1457"/>
    <col min="15361" max="15361" width="58.73046875" style="1457" customWidth="1"/>
    <col min="15362" max="15362" width="23" style="1457" customWidth="1"/>
    <col min="15363" max="15363" width="17.265625" style="1457" customWidth="1"/>
    <col min="15364" max="15364" width="29.86328125" style="1457" customWidth="1"/>
    <col min="15365" max="15365" width="29" style="1457" customWidth="1"/>
    <col min="15366" max="15366" width="27.73046875" style="1457" customWidth="1"/>
    <col min="15367" max="15367" width="22.265625" style="1457" customWidth="1"/>
    <col min="15368" max="15368" width="28.265625" style="1457" customWidth="1"/>
    <col min="15369" max="15369" width="23.265625" style="1457" customWidth="1"/>
    <col min="15370" max="15370" width="25" style="1457" customWidth="1"/>
    <col min="15371" max="15371" width="16.73046875" style="1457" customWidth="1"/>
    <col min="15372" max="15372" width="13.265625" style="1457" customWidth="1"/>
    <col min="15373" max="15373" width="9.86328125" style="1457" customWidth="1"/>
    <col min="15374" max="15374" width="11" style="1457" customWidth="1"/>
    <col min="15375" max="15376" width="9.73046875" style="1457" customWidth="1"/>
    <col min="15377" max="15377" width="10" style="1457" customWidth="1"/>
    <col min="15378" max="15379" width="17" style="1457" customWidth="1"/>
    <col min="15380" max="15616" width="8.86328125" style="1457"/>
    <col min="15617" max="15617" width="58.73046875" style="1457" customWidth="1"/>
    <col min="15618" max="15618" width="23" style="1457" customWidth="1"/>
    <col min="15619" max="15619" width="17.265625" style="1457" customWidth="1"/>
    <col min="15620" max="15620" width="29.86328125" style="1457" customWidth="1"/>
    <col min="15621" max="15621" width="29" style="1457" customWidth="1"/>
    <col min="15622" max="15622" width="27.73046875" style="1457" customWidth="1"/>
    <col min="15623" max="15623" width="22.265625" style="1457" customWidth="1"/>
    <col min="15624" max="15624" width="28.265625" style="1457" customWidth="1"/>
    <col min="15625" max="15625" width="23.265625" style="1457" customWidth="1"/>
    <col min="15626" max="15626" width="25" style="1457" customWidth="1"/>
    <col min="15627" max="15627" width="16.73046875" style="1457" customWidth="1"/>
    <col min="15628" max="15628" width="13.265625" style="1457" customWidth="1"/>
    <col min="15629" max="15629" width="9.86328125" style="1457" customWidth="1"/>
    <col min="15630" max="15630" width="11" style="1457" customWidth="1"/>
    <col min="15631" max="15632" width="9.73046875" style="1457" customWidth="1"/>
    <col min="15633" max="15633" width="10" style="1457" customWidth="1"/>
    <col min="15634" max="15635" width="17" style="1457" customWidth="1"/>
    <col min="15636" max="15872" width="8.86328125" style="1457"/>
    <col min="15873" max="15873" width="58.73046875" style="1457" customWidth="1"/>
    <col min="15874" max="15874" width="23" style="1457" customWidth="1"/>
    <col min="15875" max="15875" width="17.265625" style="1457" customWidth="1"/>
    <col min="15876" max="15876" width="29.86328125" style="1457" customWidth="1"/>
    <col min="15877" max="15877" width="29" style="1457" customWidth="1"/>
    <col min="15878" max="15878" width="27.73046875" style="1457" customWidth="1"/>
    <col min="15879" max="15879" width="22.265625" style="1457" customWidth="1"/>
    <col min="15880" max="15880" width="28.265625" style="1457" customWidth="1"/>
    <col min="15881" max="15881" width="23.265625" style="1457" customWidth="1"/>
    <col min="15882" max="15882" width="25" style="1457" customWidth="1"/>
    <col min="15883" max="15883" width="16.73046875" style="1457" customWidth="1"/>
    <col min="15884" max="15884" width="13.265625" style="1457" customWidth="1"/>
    <col min="15885" max="15885" width="9.86328125" style="1457" customWidth="1"/>
    <col min="15886" max="15886" width="11" style="1457" customWidth="1"/>
    <col min="15887" max="15888" width="9.73046875" style="1457" customWidth="1"/>
    <col min="15889" max="15889" width="10" style="1457" customWidth="1"/>
    <col min="15890" max="15891" width="17" style="1457" customWidth="1"/>
    <col min="15892" max="16128" width="8.86328125" style="1457"/>
    <col min="16129" max="16129" width="58.73046875" style="1457" customWidth="1"/>
    <col min="16130" max="16130" width="23" style="1457" customWidth="1"/>
    <col min="16131" max="16131" width="17.265625" style="1457" customWidth="1"/>
    <col min="16132" max="16132" width="29.86328125" style="1457" customWidth="1"/>
    <col min="16133" max="16133" width="29" style="1457" customWidth="1"/>
    <col min="16134" max="16134" width="27.73046875" style="1457" customWidth="1"/>
    <col min="16135" max="16135" width="22.265625" style="1457" customWidth="1"/>
    <col min="16136" max="16136" width="28.265625" style="1457" customWidth="1"/>
    <col min="16137" max="16137" width="23.265625" style="1457" customWidth="1"/>
    <col min="16138" max="16138" width="25" style="1457" customWidth="1"/>
    <col min="16139" max="16139" width="16.73046875" style="1457" customWidth="1"/>
    <col min="16140" max="16140" width="13.265625" style="1457" customWidth="1"/>
    <col min="16141" max="16141" width="9.86328125" style="1457" customWidth="1"/>
    <col min="16142" max="16142" width="11" style="1457" customWidth="1"/>
    <col min="16143" max="16144" width="9.73046875" style="1457" customWidth="1"/>
    <col min="16145" max="16145" width="10" style="1457" customWidth="1"/>
    <col min="16146" max="16147" width="17" style="1457" customWidth="1"/>
    <col min="16148" max="16384" width="8.86328125" style="1457"/>
  </cols>
  <sheetData>
    <row r="1" spans="1:34" ht="36">
      <c r="A1" s="1456" t="s">
        <v>2612</v>
      </c>
    </row>
    <row r="2" spans="1:34">
      <c r="A2" s="1458" t="s">
        <v>2303</v>
      </c>
    </row>
    <row r="4" spans="1:34" ht="15">
      <c r="A4" s="1470" t="s">
        <v>364</v>
      </c>
    </row>
    <row r="5" spans="1:34" s="1460" customFormat="1" ht="14.65" thickBot="1">
      <c r="J5" s="1474"/>
      <c r="K5" s="1474"/>
      <c r="L5" s="1474"/>
      <c r="M5" s="1474"/>
      <c r="N5" s="1474"/>
      <c r="O5" s="1457"/>
      <c r="P5" s="1457"/>
      <c r="Q5" s="1457"/>
      <c r="R5" s="1457"/>
      <c r="S5" s="1457"/>
      <c r="T5" s="1457"/>
      <c r="U5" s="1457"/>
      <c r="V5" s="1466"/>
      <c r="W5" s="1457"/>
      <c r="X5" s="1457"/>
      <c r="Y5" s="1457"/>
      <c r="Z5" s="1457"/>
      <c r="AA5" s="1457"/>
      <c r="AB5" s="1457"/>
      <c r="AC5" s="1457"/>
      <c r="AD5" s="1457"/>
      <c r="AE5" s="1457"/>
      <c r="AF5" s="1457"/>
      <c r="AG5" s="1457"/>
      <c r="AH5" s="1457"/>
    </row>
    <row r="6" spans="1:34" ht="14.65" thickBot="1">
      <c r="A6" s="1471" t="s">
        <v>367</v>
      </c>
      <c r="B6" s="1463" t="s">
        <v>368</v>
      </c>
      <c r="C6" s="1463" t="s">
        <v>369</v>
      </c>
      <c r="D6" s="1463" t="s">
        <v>1853</v>
      </c>
      <c r="E6" s="1463" t="s">
        <v>1854</v>
      </c>
      <c r="F6" s="1463" t="s">
        <v>1855</v>
      </c>
      <c r="G6" s="1463" t="s">
        <v>1809</v>
      </c>
      <c r="H6" s="1463" t="s">
        <v>375</v>
      </c>
      <c r="I6" s="1481" t="s">
        <v>1856</v>
      </c>
      <c r="K6" s="1467"/>
    </row>
    <row r="7" spans="1:34" ht="14.25">
      <c r="A7" s="1482" t="s">
        <v>1857</v>
      </c>
      <c r="B7" s="1483">
        <v>500</v>
      </c>
      <c r="C7" s="1483">
        <v>1</v>
      </c>
      <c r="D7" s="1484">
        <v>54450000</v>
      </c>
      <c r="E7" s="1484">
        <v>56732581.210000001</v>
      </c>
      <c r="F7" s="1484">
        <v>18389980.440000001</v>
      </c>
      <c r="G7" s="1484">
        <f>E7-F7</f>
        <v>38342600.769999996</v>
      </c>
      <c r="H7" s="1485" t="s">
        <v>385</v>
      </c>
      <c r="I7" s="1486" t="s">
        <v>1858</v>
      </c>
      <c r="K7" s="1467"/>
    </row>
    <row r="8" spans="1:34" ht="14.25">
      <c r="A8" s="1482" t="s">
        <v>1859</v>
      </c>
      <c r="B8" s="1483"/>
      <c r="C8" s="1483"/>
      <c r="D8" s="1484">
        <v>4000000</v>
      </c>
      <c r="E8" s="1484">
        <v>1600000</v>
      </c>
      <c r="F8" s="1484">
        <v>0</v>
      </c>
      <c r="G8" s="1484">
        <f>E8-F8</f>
        <v>1600000</v>
      </c>
      <c r="H8" s="1487" t="s">
        <v>389</v>
      </c>
      <c r="I8" s="1486">
        <v>2018</v>
      </c>
      <c r="K8" s="1467"/>
    </row>
    <row r="9" spans="1:34" ht="14.25">
      <c r="A9" s="1482" t="s">
        <v>1860</v>
      </c>
      <c r="B9" s="1483"/>
      <c r="C9" s="1483"/>
      <c r="D9" s="1484"/>
      <c r="E9" s="1484">
        <v>200000</v>
      </c>
      <c r="F9" s="1484">
        <v>0</v>
      </c>
      <c r="G9" s="1484">
        <f>E9-F9</f>
        <v>200000</v>
      </c>
      <c r="H9" s="1487" t="s">
        <v>389</v>
      </c>
      <c r="I9" s="1486">
        <v>2020</v>
      </c>
      <c r="K9" s="1467"/>
    </row>
    <row r="10" spans="1:34" ht="14.25">
      <c r="A10" s="1482" t="s">
        <v>1861</v>
      </c>
      <c r="B10" s="1483">
        <v>465</v>
      </c>
      <c r="C10" s="1483">
        <v>1</v>
      </c>
      <c r="D10" s="1484">
        <v>41596704.82</v>
      </c>
      <c r="E10" s="1484">
        <v>45187907.100000001</v>
      </c>
      <c r="F10" s="1484">
        <v>38185736.149999999</v>
      </c>
      <c r="G10" s="1484">
        <f t="shared" ref="G10:G60" si="0">E10-F10</f>
        <v>7002170.950000003</v>
      </c>
      <c r="H10" s="1487" t="s">
        <v>389</v>
      </c>
      <c r="I10" s="1486" t="s">
        <v>1862</v>
      </c>
      <c r="K10" s="1467"/>
    </row>
    <row r="11" spans="1:34" ht="14.25">
      <c r="A11" s="1482" t="s">
        <v>520</v>
      </c>
      <c r="B11" s="1483">
        <v>91</v>
      </c>
      <c r="C11" s="1483">
        <v>12</v>
      </c>
      <c r="D11" s="1484">
        <v>520000</v>
      </c>
      <c r="E11" s="1484">
        <v>147886</v>
      </c>
      <c r="F11" s="1484">
        <v>0</v>
      </c>
      <c r="G11" s="1484">
        <f>D11</f>
        <v>520000</v>
      </c>
      <c r="H11" s="1487" t="s">
        <v>389</v>
      </c>
      <c r="I11" s="1486">
        <v>2021</v>
      </c>
      <c r="K11" s="1467"/>
    </row>
    <row r="12" spans="1:34" ht="14.25">
      <c r="A12" s="1482" t="s">
        <v>1863</v>
      </c>
      <c r="B12" s="1483">
        <v>214</v>
      </c>
      <c r="C12" s="1483">
        <v>12</v>
      </c>
      <c r="D12" s="1484">
        <v>568000</v>
      </c>
      <c r="E12" s="1484">
        <v>186589</v>
      </c>
      <c r="F12" s="1484">
        <v>0</v>
      </c>
      <c r="G12" s="1484">
        <f t="shared" ref="G12:G25" si="1">D12</f>
        <v>568000</v>
      </c>
      <c r="H12" s="1487" t="s">
        <v>389</v>
      </c>
      <c r="I12" s="1486">
        <v>2021</v>
      </c>
      <c r="K12" s="1467"/>
    </row>
    <row r="13" spans="1:34" ht="14.25">
      <c r="A13" s="1482" t="s">
        <v>1864</v>
      </c>
      <c r="B13" s="1483">
        <v>206</v>
      </c>
      <c r="C13" s="1483">
        <v>12</v>
      </c>
      <c r="D13" s="1484">
        <v>1815000</v>
      </c>
      <c r="E13" s="1484">
        <v>575680</v>
      </c>
      <c r="F13" s="1484">
        <v>0</v>
      </c>
      <c r="G13" s="1484">
        <f t="shared" si="1"/>
        <v>1815000</v>
      </c>
      <c r="H13" s="1487" t="s">
        <v>389</v>
      </c>
      <c r="I13" s="1486">
        <v>2021</v>
      </c>
      <c r="K13" s="1467"/>
    </row>
    <row r="14" spans="1:34" ht="14.25">
      <c r="A14" s="1482" t="s">
        <v>1865</v>
      </c>
      <c r="B14" s="1483">
        <v>496</v>
      </c>
      <c r="C14" s="1483">
        <v>12</v>
      </c>
      <c r="D14" s="1484">
        <v>2460000</v>
      </c>
      <c r="E14" s="1484">
        <v>629490</v>
      </c>
      <c r="F14" s="1484">
        <v>0</v>
      </c>
      <c r="G14" s="1484">
        <f t="shared" si="1"/>
        <v>2460000</v>
      </c>
      <c r="H14" s="1487" t="s">
        <v>389</v>
      </c>
      <c r="I14" s="1486">
        <v>2021</v>
      </c>
      <c r="K14" s="1467"/>
    </row>
    <row r="15" spans="1:34" ht="14.25">
      <c r="A15" s="1482" t="s">
        <v>518</v>
      </c>
      <c r="B15" s="1483">
        <v>181</v>
      </c>
      <c r="C15" s="1483">
        <v>10</v>
      </c>
      <c r="D15" s="1484">
        <v>1350000</v>
      </c>
      <c r="E15" s="1484">
        <v>385452</v>
      </c>
      <c r="F15" s="1484">
        <v>0</v>
      </c>
      <c r="G15" s="1484">
        <f t="shared" si="1"/>
        <v>1350000</v>
      </c>
      <c r="H15" s="1487" t="s">
        <v>389</v>
      </c>
      <c r="I15" s="1486">
        <v>2021</v>
      </c>
      <c r="K15" s="1467"/>
    </row>
    <row r="16" spans="1:34" ht="14.25">
      <c r="A16" s="1482" t="s">
        <v>413</v>
      </c>
      <c r="B16" s="1483">
        <v>323</v>
      </c>
      <c r="C16" s="1483">
        <v>12</v>
      </c>
      <c r="D16" s="1484">
        <v>5041000</v>
      </c>
      <c r="E16" s="1484">
        <v>636571</v>
      </c>
      <c r="F16" s="1484">
        <v>0</v>
      </c>
      <c r="G16" s="1484">
        <f t="shared" si="1"/>
        <v>5041000</v>
      </c>
      <c r="H16" s="1487" t="s">
        <v>389</v>
      </c>
      <c r="I16" s="1486">
        <v>2021</v>
      </c>
      <c r="K16" s="1467"/>
    </row>
    <row r="17" spans="1:11" ht="14.25">
      <c r="A17" s="1482" t="s">
        <v>514</v>
      </c>
      <c r="B17" s="1483">
        <v>80</v>
      </c>
      <c r="C17" s="1483">
        <v>4</v>
      </c>
      <c r="D17" s="1484">
        <v>780000</v>
      </c>
      <c r="E17" s="1484">
        <v>256457</v>
      </c>
      <c r="F17" s="1484">
        <v>0</v>
      </c>
      <c r="G17" s="1484">
        <f t="shared" si="1"/>
        <v>780000</v>
      </c>
      <c r="H17" s="1487" t="s">
        <v>389</v>
      </c>
      <c r="I17" s="1486">
        <v>2021</v>
      </c>
      <c r="K17" s="1467"/>
    </row>
    <row r="18" spans="1:11" ht="14.25">
      <c r="A18" s="1482" t="s">
        <v>521</v>
      </c>
      <c r="B18" s="1483">
        <v>176</v>
      </c>
      <c r="C18" s="1483">
        <v>17</v>
      </c>
      <c r="D18" s="1484">
        <f>5300*B18</f>
        <v>932800</v>
      </c>
      <c r="E18" s="1484">
        <v>430381</v>
      </c>
      <c r="F18" s="1484">
        <v>0</v>
      </c>
      <c r="G18" s="1484">
        <f t="shared" si="1"/>
        <v>932800</v>
      </c>
      <c r="H18" s="1487" t="s">
        <v>389</v>
      </c>
      <c r="I18" s="1486">
        <v>2021</v>
      </c>
      <c r="K18" s="1467"/>
    </row>
    <row r="19" spans="1:11" ht="14.25">
      <c r="A19" s="1482" t="s">
        <v>522</v>
      </c>
      <c r="B19" s="1483">
        <v>100</v>
      </c>
      <c r="C19" s="1483">
        <v>16</v>
      </c>
      <c r="D19" s="1484">
        <f>5300*B19</f>
        <v>530000</v>
      </c>
      <c r="E19" s="1484">
        <v>122000</v>
      </c>
      <c r="F19" s="1484">
        <v>0</v>
      </c>
      <c r="G19" s="1484">
        <f t="shared" si="1"/>
        <v>530000</v>
      </c>
      <c r="H19" s="1487" t="s">
        <v>389</v>
      </c>
      <c r="I19" s="1486">
        <v>2021</v>
      </c>
      <c r="K19" s="1467"/>
    </row>
    <row r="20" spans="1:11" ht="14.25">
      <c r="A20" s="1482" t="s">
        <v>519</v>
      </c>
      <c r="B20" s="1483">
        <v>363</v>
      </c>
      <c r="C20" s="1483">
        <v>10</v>
      </c>
      <c r="D20" s="1484">
        <v>4963000</v>
      </c>
      <c r="E20" s="1484">
        <v>618895</v>
      </c>
      <c r="F20" s="1484">
        <v>0</v>
      </c>
      <c r="G20" s="1484">
        <f t="shared" si="1"/>
        <v>4963000</v>
      </c>
      <c r="H20" s="1487" t="s">
        <v>389</v>
      </c>
      <c r="I20" s="1486">
        <v>2021</v>
      </c>
      <c r="K20" s="1467"/>
    </row>
    <row r="21" spans="1:11" ht="14.25">
      <c r="A21" s="1482" t="s">
        <v>404</v>
      </c>
      <c r="B21" s="1483">
        <v>180</v>
      </c>
      <c r="C21" s="1483">
        <v>12</v>
      </c>
      <c r="D21" s="1484">
        <v>5931000</v>
      </c>
      <c r="E21" s="1484">
        <v>4320000</v>
      </c>
      <c r="F21" s="1484">
        <v>0</v>
      </c>
      <c r="G21" s="1484">
        <f t="shared" si="1"/>
        <v>5931000</v>
      </c>
      <c r="H21" s="1487" t="s">
        <v>389</v>
      </c>
      <c r="I21" s="1486">
        <v>2021</v>
      </c>
      <c r="K21" s="1467"/>
    </row>
    <row r="22" spans="1:11" ht="14.25">
      <c r="A22" s="1482" t="s">
        <v>407</v>
      </c>
      <c r="B22" s="1483">
        <v>825</v>
      </c>
      <c r="C22" s="1483">
        <v>12</v>
      </c>
      <c r="D22" s="1484">
        <f>9600*B22</f>
        <v>7920000</v>
      </c>
      <c r="E22" s="1484">
        <v>3631228</v>
      </c>
      <c r="F22" s="1484">
        <v>0</v>
      </c>
      <c r="G22" s="1484">
        <f t="shared" si="1"/>
        <v>7920000</v>
      </c>
      <c r="H22" s="1487" t="s">
        <v>389</v>
      </c>
      <c r="I22" s="1486">
        <v>2021</v>
      </c>
      <c r="K22" s="1467"/>
    </row>
    <row r="23" spans="1:11" ht="14.25">
      <c r="A23" s="1482" t="s">
        <v>513</v>
      </c>
      <c r="B23" s="1483">
        <v>356</v>
      </c>
      <c r="C23" s="1483">
        <v>11</v>
      </c>
      <c r="D23" s="1484">
        <v>1850000</v>
      </c>
      <c r="E23" s="1484">
        <v>430381</v>
      </c>
      <c r="F23" s="1484">
        <v>0</v>
      </c>
      <c r="G23" s="1484">
        <f t="shared" si="1"/>
        <v>1850000</v>
      </c>
      <c r="H23" s="1487" t="s">
        <v>389</v>
      </c>
      <c r="I23" s="1486">
        <v>2021</v>
      </c>
      <c r="K23" s="1467"/>
    </row>
    <row r="24" spans="1:11" ht="14.25">
      <c r="A24" s="1482" t="s">
        <v>515</v>
      </c>
      <c r="B24" s="1483">
        <v>169</v>
      </c>
      <c r="C24" s="1483">
        <v>12</v>
      </c>
      <c r="D24" s="1484">
        <v>1120000</v>
      </c>
      <c r="E24" s="1484">
        <v>234571</v>
      </c>
      <c r="F24" s="1484">
        <v>0</v>
      </c>
      <c r="G24" s="1484">
        <f t="shared" si="1"/>
        <v>1120000</v>
      </c>
      <c r="H24" s="1487" t="s">
        <v>389</v>
      </c>
      <c r="I24" s="1486">
        <v>2021</v>
      </c>
      <c r="K24" s="1467"/>
    </row>
    <row r="25" spans="1:11" ht="14.25">
      <c r="A25" s="1482" t="s">
        <v>516</v>
      </c>
      <c r="B25" s="1483">
        <v>70</v>
      </c>
      <c r="C25" s="1483">
        <v>10</v>
      </c>
      <c r="D25" s="1484">
        <v>371000</v>
      </c>
      <c r="E25" s="1484">
        <v>181258</v>
      </c>
      <c r="F25" s="1484">
        <v>0</v>
      </c>
      <c r="G25" s="1484">
        <f t="shared" si="1"/>
        <v>371000</v>
      </c>
      <c r="H25" s="1487" t="s">
        <v>389</v>
      </c>
      <c r="I25" s="1486">
        <v>2021</v>
      </c>
      <c r="K25" s="1467"/>
    </row>
    <row r="26" spans="1:11" ht="14.25">
      <c r="A26" s="1482" t="s">
        <v>1866</v>
      </c>
      <c r="B26" s="1483">
        <v>70</v>
      </c>
      <c r="C26" s="1483">
        <v>17</v>
      </c>
      <c r="D26" s="1484">
        <v>371000</v>
      </c>
      <c r="E26" s="1484">
        <v>350000</v>
      </c>
      <c r="F26" s="1484">
        <v>0</v>
      </c>
      <c r="G26" s="1484">
        <f>E26-F26</f>
        <v>350000</v>
      </c>
      <c r="H26" s="1487" t="s">
        <v>389</v>
      </c>
      <c r="I26" s="1486">
        <v>2020</v>
      </c>
      <c r="K26" s="1467"/>
    </row>
    <row r="27" spans="1:11" ht="15.75" customHeight="1">
      <c r="A27" s="1482" t="s">
        <v>1867</v>
      </c>
      <c r="B27" s="1483">
        <v>570</v>
      </c>
      <c r="C27" s="1483">
        <v>1</v>
      </c>
      <c r="D27" s="1484">
        <v>61934298.060000002</v>
      </c>
      <c r="E27" s="1484">
        <v>57801700</v>
      </c>
      <c r="F27" s="1484">
        <v>46632900.840000004</v>
      </c>
      <c r="G27" s="1484">
        <f t="shared" si="0"/>
        <v>11168799.159999996</v>
      </c>
      <c r="H27" s="1487" t="s">
        <v>389</v>
      </c>
      <c r="I27" s="1486" t="s">
        <v>1868</v>
      </c>
      <c r="K27" s="1467"/>
    </row>
    <row r="28" spans="1:11" ht="14.25">
      <c r="A28" s="1482" t="s">
        <v>1869</v>
      </c>
      <c r="B28" s="1483">
        <v>86</v>
      </c>
      <c r="C28" s="1483">
        <v>16</v>
      </c>
      <c r="D28" s="1484">
        <v>952149</v>
      </c>
      <c r="E28" s="1484">
        <v>240000</v>
      </c>
      <c r="F28" s="1484">
        <v>0</v>
      </c>
      <c r="G28" s="1484">
        <f t="shared" si="0"/>
        <v>240000</v>
      </c>
      <c r="H28" s="1487" t="s">
        <v>389</v>
      </c>
      <c r="I28" s="1486">
        <v>2016</v>
      </c>
      <c r="K28" s="1467"/>
    </row>
    <row r="29" spans="1:11" ht="14.25">
      <c r="A29" s="1482" t="s">
        <v>1870</v>
      </c>
      <c r="B29" s="1483">
        <v>153</v>
      </c>
      <c r="C29" s="1483">
        <v>17</v>
      </c>
      <c r="D29" s="1484">
        <v>1960000</v>
      </c>
      <c r="E29" s="1484">
        <v>480000</v>
      </c>
      <c r="F29" s="1484">
        <v>0</v>
      </c>
      <c r="G29" s="1484">
        <f t="shared" si="0"/>
        <v>480000</v>
      </c>
      <c r="H29" s="1487" t="s">
        <v>389</v>
      </c>
      <c r="I29" s="1486">
        <v>2016</v>
      </c>
      <c r="K29" s="1467"/>
    </row>
    <row r="30" spans="1:11" ht="14.25">
      <c r="A30" s="1482" t="s">
        <v>1871</v>
      </c>
      <c r="B30" s="1483">
        <v>234</v>
      </c>
      <c r="C30" s="1483">
        <v>16</v>
      </c>
      <c r="D30" s="1484">
        <v>2590731</v>
      </c>
      <c r="E30" s="1484">
        <v>410000</v>
      </c>
      <c r="F30" s="1484">
        <v>0</v>
      </c>
      <c r="G30" s="1484">
        <f t="shared" si="0"/>
        <v>410000</v>
      </c>
      <c r="H30" s="1487" t="s">
        <v>389</v>
      </c>
      <c r="I30" s="1486">
        <v>2016</v>
      </c>
      <c r="K30" s="1467"/>
    </row>
    <row r="31" spans="1:11" ht="14.25">
      <c r="A31" s="1482" t="s">
        <v>1872</v>
      </c>
      <c r="B31" s="1483">
        <v>147</v>
      </c>
      <c r="C31" s="1483">
        <v>17</v>
      </c>
      <c r="D31" s="1484">
        <v>1865856.3</v>
      </c>
      <c r="E31" s="1484">
        <v>620000</v>
      </c>
      <c r="F31" s="1484">
        <v>0</v>
      </c>
      <c r="G31" s="1484">
        <f t="shared" si="0"/>
        <v>620000</v>
      </c>
      <c r="H31" s="1487" t="s">
        <v>389</v>
      </c>
      <c r="I31" s="1486">
        <v>2016</v>
      </c>
      <c r="K31" s="1467"/>
    </row>
    <row r="32" spans="1:11" ht="14.25">
      <c r="A32" s="1482" t="s">
        <v>1873</v>
      </c>
      <c r="B32" s="1483">
        <v>148</v>
      </c>
      <c r="C32" s="1483">
        <v>17</v>
      </c>
      <c r="D32" s="1484">
        <v>1878549.2</v>
      </c>
      <c r="E32" s="1484">
        <v>530000</v>
      </c>
      <c r="F32" s="1484">
        <v>0</v>
      </c>
      <c r="G32" s="1484">
        <f t="shared" si="0"/>
        <v>530000</v>
      </c>
      <c r="H32" s="1487" t="s">
        <v>389</v>
      </c>
      <c r="I32" s="1486">
        <v>2016</v>
      </c>
      <c r="K32" s="1467"/>
    </row>
    <row r="33" spans="1:11" ht="14.25">
      <c r="A33" s="1482" t="s">
        <v>1874</v>
      </c>
      <c r="B33" s="1483">
        <v>145</v>
      </c>
      <c r="C33" s="1483">
        <v>9</v>
      </c>
      <c r="D33" s="1484">
        <v>1572207.45</v>
      </c>
      <c r="E33" s="1484">
        <v>470000</v>
      </c>
      <c r="F33" s="1484">
        <v>0</v>
      </c>
      <c r="G33" s="1484">
        <f t="shared" si="0"/>
        <v>470000</v>
      </c>
      <c r="H33" s="1487" t="s">
        <v>389</v>
      </c>
      <c r="I33" s="1486">
        <v>2016</v>
      </c>
      <c r="K33" s="1467"/>
    </row>
    <row r="34" spans="1:11" ht="14.25">
      <c r="A34" s="1482" t="s">
        <v>1875</v>
      </c>
      <c r="B34" s="1483">
        <v>121</v>
      </c>
      <c r="C34" s="1483">
        <v>11</v>
      </c>
      <c r="D34" s="1484">
        <v>1835981.4</v>
      </c>
      <c r="E34" s="1484">
        <f>0.57*D34</f>
        <v>1046509.3979999998</v>
      </c>
      <c r="F34" s="1484">
        <v>0</v>
      </c>
      <c r="G34" s="1484">
        <f t="shared" si="0"/>
        <v>1046509.3979999998</v>
      </c>
      <c r="H34" s="1487" t="s">
        <v>389</v>
      </c>
      <c r="I34" s="1486">
        <v>2018</v>
      </c>
      <c r="K34" s="1467"/>
    </row>
    <row r="35" spans="1:11" ht="14.25">
      <c r="A35" s="1482" t="s">
        <v>1876</v>
      </c>
      <c r="B35" s="1483">
        <v>131</v>
      </c>
      <c r="C35" s="1483">
        <v>11</v>
      </c>
      <c r="D35" s="1484">
        <v>1943568</v>
      </c>
      <c r="E35" s="1484">
        <f>0.57*D35</f>
        <v>1107833.76</v>
      </c>
      <c r="F35" s="1484">
        <v>0</v>
      </c>
      <c r="G35" s="1484">
        <f t="shared" si="0"/>
        <v>1107833.76</v>
      </c>
      <c r="H35" s="1487" t="s">
        <v>389</v>
      </c>
      <c r="I35" s="1486">
        <v>2018</v>
      </c>
      <c r="K35" s="1467"/>
    </row>
    <row r="36" spans="1:11" ht="14.25">
      <c r="A36" s="1482" t="s">
        <v>1877</v>
      </c>
      <c r="B36" s="1483">
        <v>141</v>
      </c>
      <c r="C36" s="1483">
        <v>11</v>
      </c>
      <c r="D36" s="1484">
        <v>1870000</v>
      </c>
      <c r="E36" s="1484">
        <f>0.57*D36</f>
        <v>1065900</v>
      </c>
      <c r="F36" s="1484">
        <v>0</v>
      </c>
      <c r="G36" s="1484">
        <f t="shared" si="0"/>
        <v>1065900</v>
      </c>
      <c r="H36" s="1487" t="s">
        <v>389</v>
      </c>
      <c r="I36" s="1486">
        <v>2018</v>
      </c>
      <c r="K36" s="1467"/>
    </row>
    <row r="37" spans="1:11" ht="14.25">
      <c r="A37" s="1482" t="s">
        <v>1878</v>
      </c>
      <c r="B37" s="1483">
        <v>270</v>
      </c>
      <c r="C37" s="1483">
        <v>11</v>
      </c>
      <c r="D37" s="1484">
        <v>2139449.4</v>
      </c>
      <c r="E37" s="1484">
        <f>0.57*D37</f>
        <v>1219486.1579999998</v>
      </c>
      <c r="F37" s="1484">
        <v>0</v>
      </c>
      <c r="G37" s="1484">
        <f t="shared" si="0"/>
        <v>1219486.1579999998</v>
      </c>
      <c r="H37" s="1487" t="s">
        <v>389</v>
      </c>
      <c r="I37" s="1486">
        <v>2018</v>
      </c>
      <c r="K37" s="1467"/>
    </row>
    <row r="38" spans="1:11" ht="14.25">
      <c r="A38" s="1488" t="s">
        <v>517</v>
      </c>
      <c r="B38" s="1483">
        <v>265</v>
      </c>
      <c r="C38" s="1483">
        <v>7</v>
      </c>
      <c r="D38" s="1484">
        <v>1760368.5</v>
      </c>
      <c r="E38" s="1484">
        <v>300000</v>
      </c>
      <c r="F38" s="1484">
        <v>0</v>
      </c>
      <c r="G38" s="1484">
        <f t="shared" si="0"/>
        <v>300000</v>
      </c>
      <c r="H38" s="1487" t="s">
        <v>389</v>
      </c>
      <c r="I38" s="1486">
        <v>2017</v>
      </c>
      <c r="K38" s="1467"/>
    </row>
    <row r="39" spans="1:11" ht="14.25">
      <c r="A39" s="1488" t="s">
        <v>1879</v>
      </c>
      <c r="B39" s="1483">
        <v>286</v>
      </c>
      <c r="C39" s="1483">
        <v>7</v>
      </c>
      <c r="D39" s="1484">
        <v>1899869.4</v>
      </c>
      <c r="E39" s="1484">
        <v>600000</v>
      </c>
      <c r="F39" s="1484">
        <v>0</v>
      </c>
      <c r="G39" s="1484">
        <f t="shared" si="0"/>
        <v>600000</v>
      </c>
      <c r="H39" s="1487" t="s">
        <v>389</v>
      </c>
      <c r="I39" s="1486">
        <v>2018</v>
      </c>
      <c r="K39" s="1467"/>
    </row>
    <row r="40" spans="1:11" ht="14.25" customHeight="1">
      <c r="A40" s="1482" t="s">
        <v>1880</v>
      </c>
      <c r="B40" s="1483">
        <v>500</v>
      </c>
      <c r="C40" s="1483">
        <v>1</v>
      </c>
      <c r="D40" s="1489">
        <v>6700000</v>
      </c>
      <c r="E40" s="1489">
        <v>8400000</v>
      </c>
      <c r="F40" s="1484">
        <v>6700000</v>
      </c>
      <c r="G40" s="1484">
        <f t="shared" si="0"/>
        <v>1700000</v>
      </c>
      <c r="H40" s="1485" t="s">
        <v>385</v>
      </c>
      <c r="I40" s="1486">
        <v>2019</v>
      </c>
      <c r="K40" s="1467"/>
    </row>
    <row r="41" spans="1:11" ht="16.5" customHeight="1">
      <c r="A41" s="1490" t="s">
        <v>388</v>
      </c>
      <c r="B41" s="1491">
        <v>97</v>
      </c>
      <c r="C41" s="1491">
        <v>7</v>
      </c>
      <c r="D41" s="1489">
        <v>1400000</v>
      </c>
      <c r="E41" s="1489">
        <v>1400000</v>
      </c>
      <c r="F41" s="1484">
        <f t="shared" ref="F41:F57" si="2">0*E41</f>
        <v>0</v>
      </c>
      <c r="G41" s="1484">
        <f t="shared" si="0"/>
        <v>1400000</v>
      </c>
      <c r="H41" s="1487" t="s">
        <v>389</v>
      </c>
      <c r="I41" s="1492">
        <v>2018</v>
      </c>
      <c r="K41" s="1467"/>
    </row>
    <row r="42" spans="1:11" ht="14.25">
      <c r="A42" s="1490" t="s">
        <v>404</v>
      </c>
      <c r="B42" s="1491">
        <v>380</v>
      </c>
      <c r="C42" s="1491">
        <v>12</v>
      </c>
      <c r="D42" s="1489">
        <v>5900000</v>
      </c>
      <c r="E42" s="1489">
        <v>0</v>
      </c>
      <c r="F42" s="1484">
        <f t="shared" si="2"/>
        <v>0</v>
      </c>
      <c r="G42" s="1484">
        <f t="shared" si="0"/>
        <v>0</v>
      </c>
      <c r="H42" s="1487" t="s">
        <v>405</v>
      </c>
      <c r="I42" s="1492">
        <v>2016</v>
      </c>
      <c r="K42" s="1467"/>
    </row>
    <row r="43" spans="1:11">
      <c r="A43" s="1490" t="s">
        <v>1881</v>
      </c>
      <c r="B43" s="1491">
        <v>132</v>
      </c>
      <c r="C43" s="1491">
        <v>12</v>
      </c>
      <c r="D43" s="1489">
        <v>2000000</v>
      </c>
      <c r="E43" s="1489">
        <v>0</v>
      </c>
      <c r="F43" s="1484">
        <f t="shared" si="2"/>
        <v>0</v>
      </c>
      <c r="G43" s="1484">
        <f t="shared" si="0"/>
        <v>0</v>
      </c>
      <c r="H43" s="1487" t="s">
        <v>389</v>
      </c>
      <c r="I43" s="1492">
        <v>2016</v>
      </c>
    </row>
    <row r="44" spans="1:11">
      <c r="A44" s="1490" t="s">
        <v>1882</v>
      </c>
      <c r="B44" s="1491">
        <v>168</v>
      </c>
      <c r="C44" s="1491">
        <v>9</v>
      </c>
      <c r="D44" s="1489">
        <v>2650000</v>
      </c>
      <c r="E44" s="1489">
        <v>0</v>
      </c>
      <c r="F44" s="1484">
        <f t="shared" si="2"/>
        <v>0</v>
      </c>
      <c r="G44" s="1484">
        <f t="shared" si="0"/>
        <v>0</v>
      </c>
      <c r="H44" s="1487" t="s">
        <v>1883</v>
      </c>
      <c r="I44" s="1492">
        <v>2016</v>
      </c>
    </row>
    <row r="45" spans="1:11">
      <c r="A45" s="1490" t="s">
        <v>1884</v>
      </c>
      <c r="B45" s="1491">
        <v>550</v>
      </c>
      <c r="C45" s="1491">
        <v>1</v>
      </c>
      <c r="D45" s="3305">
        <v>28000000</v>
      </c>
      <c r="E45" s="3305">
        <v>22000000</v>
      </c>
      <c r="F45" s="3305">
        <v>22000000</v>
      </c>
      <c r="G45" s="1484">
        <v>0</v>
      </c>
      <c r="H45" s="1487" t="s">
        <v>389</v>
      </c>
      <c r="I45" s="1492">
        <v>2017</v>
      </c>
    </row>
    <row r="46" spans="1:11">
      <c r="A46" s="1490" t="s">
        <v>1885</v>
      </c>
      <c r="B46" s="1491">
        <v>195</v>
      </c>
      <c r="C46" s="1491">
        <v>12</v>
      </c>
      <c r="D46" s="3306"/>
      <c r="E46" s="3306"/>
      <c r="F46" s="3306"/>
      <c r="G46" s="1484">
        <v>0</v>
      </c>
      <c r="H46" s="1487" t="s">
        <v>389</v>
      </c>
      <c r="I46" s="1492">
        <v>2017</v>
      </c>
    </row>
    <row r="47" spans="1:11">
      <c r="A47" s="1490" t="s">
        <v>1880</v>
      </c>
      <c r="B47" s="1491">
        <v>475</v>
      </c>
      <c r="C47" s="1491">
        <v>1</v>
      </c>
      <c r="D47" s="3306"/>
      <c r="E47" s="3306"/>
      <c r="F47" s="3306"/>
      <c r="G47" s="1484">
        <v>0</v>
      </c>
      <c r="H47" s="1487" t="s">
        <v>389</v>
      </c>
      <c r="I47" s="1492">
        <v>2017</v>
      </c>
    </row>
    <row r="48" spans="1:11">
      <c r="A48" s="1490" t="s">
        <v>1886</v>
      </c>
      <c r="B48" s="1491">
        <v>115</v>
      </c>
      <c r="C48" s="1491">
        <v>1</v>
      </c>
      <c r="D48" s="3306"/>
      <c r="E48" s="3306"/>
      <c r="F48" s="3306"/>
      <c r="G48" s="1484">
        <v>0</v>
      </c>
      <c r="H48" s="1487" t="s">
        <v>389</v>
      </c>
      <c r="I48" s="1492">
        <v>2017</v>
      </c>
    </row>
    <row r="49" spans="1:9">
      <c r="A49" s="1490" t="s">
        <v>1887</v>
      </c>
      <c r="B49" s="1491">
        <v>600</v>
      </c>
      <c r="C49" s="1491">
        <v>4</v>
      </c>
      <c r="D49" s="3307"/>
      <c r="E49" s="3307"/>
      <c r="F49" s="3307"/>
      <c r="G49" s="1484">
        <v>0</v>
      </c>
      <c r="H49" s="1487" t="s">
        <v>389</v>
      </c>
      <c r="I49" s="1492">
        <v>2017</v>
      </c>
    </row>
    <row r="50" spans="1:9">
      <c r="A50" s="1490" t="s">
        <v>1888</v>
      </c>
      <c r="B50" s="1491">
        <v>93</v>
      </c>
      <c r="C50" s="1491">
        <v>12</v>
      </c>
      <c r="D50" s="1489">
        <v>7039297.21</v>
      </c>
      <c r="E50" s="1489">
        <v>3603389.52</v>
      </c>
      <c r="F50" s="1484">
        <f t="shared" si="2"/>
        <v>0</v>
      </c>
      <c r="G50" s="1484">
        <f t="shared" si="0"/>
        <v>3603389.52</v>
      </c>
      <c r="H50" s="1487" t="s">
        <v>389</v>
      </c>
      <c r="I50" s="1492">
        <v>2017</v>
      </c>
    </row>
    <row r="51" spans="1:9">
      <c r="A51" s="1490" t="s">
        <v>1889</v>
      </c>
      <c r="B51" s="1491">
        <v>348</v>
      </c>
      <c r="C51" s="1491">
        <v>13</v>
      </c>
      <c r="D51" s="1489">
        <v>6712015.2000000002</v>
      </c>
      <c r="E51" s="1489">
        <v>340000</v>
      </c>
      <c r="F51" s="1484">
        <f t="shared" si="2"/>
        <v>0</v>
      </c>
      <c r="G51" s="1484">
        <f t="shared" si="0"/>
        <v>340000</v>
      </c>
      <c r="H51" s="1487" t="s">
        <v>524</v>
      </c>
      <c r="I51" s="1492">
        <v>2018</v>
      </c>
    </row>
    <row r="52" spans="1:9">
      <c r="A52" s="1490" t="s">
        <v>1890</v>
      </c>
      <c r="B52" s="1491">
        <v>160</v>
      </c>
      <c r="C52" s="1491">
        <v>17</v>
      </c>
      <c r="D52" s="1489">
        <v>1870000</v>
      </c>
      <c r="E52" s="1489">
        <v>2000000</v>
      </c>
      <c r="F52" s="1484">
        <f t="shared" si="2"/>
        <v>0</v>
      </c>
      <c r="G52" s="1484">
        <f t="shared" si="0"/>
        <v>2000000</v>
      </c>
      <c r="H52" s="1487" t="s">
        <v>1891</v>
      </c>
      <c r="I52" s="1492">
        <v>2017</v>
      </c>
    </row>
    <row r="53" spans="1:9">
      <c r="A53" s="1490" t="s">
        <v>1870</v>
      </c>
      <c r="B53" s="1491">
        <v>174</v>
      </c>
      <c r="C53" s="1491">
        <v>17</v>
      </c>
      <c r="D53" s="1489">
        <v>2200000</v>
      </c>
      <c r="E53" s="1489">
        <v>1800000</v>
      </c>
      <c r="F53" s="1484">
        <f t="shared" si="2"/>
        <v>0</v>
      </c>
      <c r="G53" s="1484">
        <f t="shared" si="0"/>
        <v>1800000</v>
      </c>
      <c r="H53" s="1487" t="s">
        <v>389</v>
      </c>
      <c r="I53" s="1492">
        <v>2017</v>
      </c>
    </row>
    <row r="54" spans="1:9">
      <c r="A54" s="1490" t="s">
        <v>1892</v>
      </c>
      <c r="B54" s="1491">
        <v>409</v>
      </c>
      <c r="C54" s="1491">
        <v>13</v>
      </c>
      <c r="D54" s="1489">
        <v>7700000</v>
      </c>
      <c r="E54" s="1489">
        <v>1220000</v>
      </c>
      <c r="F54" s="1484">
        <f t="shared" si="2"/>
        <v>0</v>
      </c>
      <c r="G54" s="1484">
        <f t="shared" si="0"/>
        <v>1220000</v>
      </c>
      <c r="H54" s="1487" t="s">
        <v>389</v>
      </c>
      <c r="I54" s="1492">
        <v>2017</v>
      </c>
    </row>
    <row r="55" spans="1:9">
      <c r="A55" s="1490" t="s">
        <v>1893</v>
      </c>
      <c r="B55" s="1491">
        <v>120</v>
      </c>
      <c r="C55" s="1491">
        <v>17</v>
      </c>
      <c r="D55" s="1489">
        <v>1500000</v>
      </c>
      <c r="E55" s="1489">
        <v>300000</v>
      </c>
      <c r="F55" s="1484">
        <f t="shared" si="2"/>
        <v>0</v>
      </c>
      <c r="G55" s="1484">
        <f t="shared" si="0"/>
        <v>300000</v>
      </c>
      <c r="H55" s="1487" t="s">
        <v>389</v>
      </c>
      <c r="I55" s="1492">
        <v>2017</v>
      </c>
    </row>
    <row r="56" spans="1:9">
      <c r="A56" s="1490" t="s">
        <v>1894</v>
      </c>
      <c r="B56" s="1491">
        <v>402</v>
      </c>
      <c r="C56" s="1491">
        <v>13</v>
      </c>
      <c r="D56" s="1489">
        <v>7500000</v>
      </c>
      <c r="E56" s="1489">
        <v>1700000</v>
      </c>
      <c r="F56" s="1484">
        <f t="shared" si="2"/>
        <v>0</v>
      </c>
      <c r="G56" s="1484">
        <f t="shared" si="0"/>
        <v>1700000</v>
      </c>
      <c r="H56" s="1487" t="s">
        <v>389</v>
      </c>
      <c r="I56" s="1492">
        <v>2017</v>
      </c>
    </row>
    <row r="57" spans="1:9">
      <c r="A57" s="2934" t="s">
        <v>2613</v>
      </c>
      <c r="B57" s="2935"/>
      <c r="C57" s="2935"/>
      <c r="D57" s="2936">
        <v>1000000</v>
      </c>
      <c r="E57" s="2936">
        <v>1000000</v>
      </c>
      <c r="F57" s="2937">
        <f t="shared" si="2"/>
        <v>0</v>
      </c>
      <c r="G57" s="2937">
        <f t="shared" si="0"/>
        <v>1000000</v>
      </c>
      <c r="H57" s="2938" t="s">
        <v>389</v>
      </c>
      <c r="I57" s="2939">
        <v>2023</v>
      </c>
    </row>
    <row r="58" spans="1:9">
      <c r="A58" s="2934" t="s">
        <v>1895</v>
      </c>
      <c r="B58" s="2935">
        <v>98</v>
      </c>
      <c r="C58" s="2935">
        <v>12</v>
      </c>
      <c r="D58" s="2936">
        <v>1500000</v>
      </c>
      <c r="E58" s="2936">
        <v>420000</v>
      </c>
      <c r="F58" s="2936">
        <f>0*E58</f>
        <v>0</v>
      </c>
      <c r="G58" s="2936">
        <f t="shared" si="0"/>
        <v>420000</v>
      </c>
      <c r="H58" s="2938" t="s">
        <v>389</v>
      </c>
      <c r="I58" s="2939">
        <v>2017</v>
      </c>
    </row>
    <row r="59" spans="1:9">
      <c r="A59" s="1487" t="s">
        <v>403</v>
      </c>
      <c r="B59" s="1491"/>
      <c r="C59" s="1491"/>
      <c r="D59" s="1489">
        <v>4200000</v>
      </c>
      <c r="E59" s="1489">
        <v>6500000</v>
      </c>
      <c r="F59" s="1489">
        <f>0*E59</f>
        <v>0</v>
      </c>
      <c r="G59" s="1489">
        <f t="shared" si="0"/>
        <v>6500000</v>
      </c>
      <c r="H59" s="1487" t="s">
        <v>389</v>
      </c>
      <c r="I59" s="2940">
        <v>2024</v>
      </c>
    </row>
    <row r="60" spans="1:9">
      <c r="A60" s="1487" t="s">
        <v>1941</v>
      </c>
      <c r="B60" s="1491"/>
      <c r="C60" s="1491"/>
      <c r="D60" s="1489">
        <v>1100000</v>
      </c>
      <c r="E60" s="1489">
        <v>2000000</v>
      </c>
      <c r="F60" s="1489">
        <f>0*E60</f>
        <v>0</v>
      </c>
      <c r="G60" s="1489">
        <f t="shared" si="0"/>
        <v>2000000</v>
      </c>
      <c r="H60" s="1487" t="s">
        <v>389</v>
      </c>
      <c r="I60" s="2940">
        <v>2024</v>
      </c>
    </row>
    <row r="62" spans="1:9" ht="14.25">
      <c r="A62" s="1466" t="s">
        <v>416</v>
      </c>
      <c r="B62" s="1468">
        <f>SUM(B41:B58)</f>
        <v>4516</v>
      </c>
      <c r="D62" s="1469">
        <v>309743843</v>
      </c>
      <c r="E62" s="1469">
        <v>235432146</v>
      </c>
      <c r="F62" s="1469">
        <f>SUM(F7:F58)</f>
        <v>131908617.43000001</v>
      </c>
      <c r="G62" s="1469">
        <f>SUM(G7:G60)</f>
        <v>126888489.71600001</v>
      </c>
    </row>
    <row r="63" spans="1:9" ht="13.15" thickBot="1">
      <c r="B63"/>
    </row>
    <row r="64" spans="1:9" ht="14.65" thickBot="1">
      <c r="A64" s="1471" t="s">
        <v>526</v>
      </c>
      <c r="B64" s="1465" t="s">
        <v>368</v>
      </c>
      <c r="D64" s="1471" t="s">
        <v>370</v>
      </c>
      <c r="E64" s="1463" t="s">
        <v>1854</v>
      </c>
      <c r="F64" s="1463" t="s">
        <v>1896</v>
      </c>
      <c r="G64" s="1463" t="s">
        <v>1809</v>
      </c>
      <c r="H64" s="1465" t="s">
        <v>375</v>
      </c>
      <c r="I64" s="1465" t="s">
        <v>361</v>
      </c>
    </row>
    <row r="65" spans="1:13">
      <c r="A65" s="1482" t="s">
        <v>527</v>
      </c>
      <c r="B65" s="1497">
        <v>230</v>
      </c>
      <c r="D65" s="1498">
        <v>4270090</v>
      </c>
      <c r="E65" s="1484">
        <v>3825914.97</v>
      </c>
      <c r="F65" s="1484">
        <v>3001800</v>
      </c>
      <c r="G65" s="1484">
        <f>E65-F65</f>
        <v>824114.9700000002</v>
      </c>
      <c r="H65" s="1499" t="s">
        <v>389</v>
      </c>
      <c r="I65" s="1492">
        <v>2017</v>
      </c>
    </row>
    <row r="66" spans="1:13">
      <c r="A66" s="1482" t="s">
        <v>528</v>
      </c>
      <c r="B66" s="1497">
        <v>300</v>
      </c>
      <c r="D66" s="1498">
        <v>1500000</v>
      </c>
      <c r="E66" s="1484">
        <v>150000</v>
      </c>
      <c r="F66" s="1489">
        <v>0</v>
      </c>
      <c r="G66" s="1489">
        <f>E66-F66</f>
        <v>150000</v>
      </c>
      <c r="H66" s="1499" t="s">
        <v>389</v>
      </c>
      <c r="I66" s="1492">
        <v>2018</v>
      </c>
    </row>
    <row r="67" spans="1:13">
      <c r="A67" s="1482" t="s">
        <v>1897</v>
      </c>
      <c r="B67" s="1497">
        <v>12</v>
      </c>
      <c r="D67" s="1498">
        <v>450000</v>
      </c>
      <c r="E67" s="1484">
        <v>550000</v>
      </c>
      <c r="F67" s="1489">
        <v>480000</v>
      </c>
      <c r="G67" s="1489">
        <f>E67-F67</f>
        <v>70000</v>
      </c>
      <c r="H67" s="1499" t="s">
        <v>389</v>
      </c>
      <c r="I67" s="1492">
        <v>2020</v>
      </c>
      <c r="J67" s="1457" t="s">
        <v>387</v>
      </c>
      <c r="K67" s="1457" t="s">
        <v>387</v>
      </c>
      <c r="L67" s="1457" t="s">
        <v>387</v>
      </c>
      <c r="M67" s="1457">
        <v>2020</v>
      </c>
    </row>
    <row r="68" spans="1:13">
      <c r="A68" s="1482" t="s">
        <v>421</v>
      </c>
      <c r="B68" s="1500">
        <v>3000</v>
      </c>
      <c r="D68" s="1498">
        <v>7400000</v>
      </c>
      <c r="E68" s="1484">
        <v>350000</v>
      </c>
      <c r="F68" s="1489">
        <v>0</v>
      </c>
      <c r="G68" s="1489">
        <f>E68-F68</f>
        <v>350000</v>
      </c>
      <c r="H68" s="1499" t="s">
        <v>389</v>
      </c>
      <c r="I68" s="1492">
        <v>2017</v>
      </c>
    </row>
    <row r="69" spans="1:13" ht="13.15" thickBot="1">
      <c r="A69" s="1493" t="s">
        <v>530</v>
      </c>
      <c r="B69" s="1501">
        <v>800</v>
      </c>
      <c r="D69" s="1502">
        <v>2400000</v>
      </c>
      <c r="E69" s="1494">
        <v>120000</v>
      </c>
      <c r="F69" s="1494">
        <v>0</v>
      </c>
      <c r="G69" s="1494">
        <f>E69-F69</f>
        <v>120000</v>
      </c>
      <c r="H69" s="1503" t="s">
        <v>389</v>
      </c>
      <c r="I69" s="1496">
        <v>2019</v>
      </c>
    </row>
    <row r="71" spans="1:13" ht="14.25">
      <c r="A71" s="1466" t="s">
        <v>416</v>
      </c>
      <c r="B71" s="1468">
        <f>SUM(B65:B69)</f>
        <v>4342</v>
      </c>
      <c r="D71" s="1469">
        <f>SUM(D65:D69)</f>
        <v>16020090</v>
      </c>
      <c r="E71" s="1469">
        <f>SUM(E65:E69)</f>
        <v>4995914.9700000007</v>
      </c>
      <c r="F71" s="1469">
        <f>SUM(F65:F69)</f>
        <v>3481800</v>
      </c>
      <c r="G71" s="1469">
        <f>SUM(G65:G69)</f>
        <v>1514114.9700000002</v>
      </c>
    </row>
    <row r="73" spans="1:13" ht="15.4" thickBot="1">
      <c r="A73" s="1470" t="s">
        <v>436</v>
      </c>
      <c r="E73" s="1469"/>
    </row>
    <row r="74" spans="1:13" ht="14.65" thickBot="1">
      <c r="A74" s="1472"/>
      <c r="D74" s="1471" t="s">
        <v>370</v>
      </c>
      <c r="E74" s="1473" t="s">
        <v>1854</v>
      </c>
      <c r="F74" s="1463" t="s">
        <v>1896</v>
      </c>
      <c r="G74" s="1463" t="s">
        <v>1809</v>
      </c>
      <c r="H74" s="1465" t="s">
        <v>375</v>
      </c>
      <c r="I74" s="1465" t="s">
        <v>361</v>
      </c>
      <c r="J74" s="1481" t="s">
        <v>1898</v>
      </c>
    </row>
    <row r="75" spans="1:13" ht="18" customHeight="1">
      <c r="A75" s="1504" t="s">
        <v>532</v>
      </c>
      <c r="D75" s="1498">
        <v>46000000</v>
      </c>
      <c r="E75" s="1505">
        <v>32000000</v>
      </c>
      <c r="F75" s="1498">
        <v>10600000</v>
      </c>
      <c r="G75" s="1484">
        <f t="shared" ref="G75:G81" si="3">E75-F75</f>
        <v>21400000</v>
      </c>
      <c r="H75" s="1499" t="s">
        <v>389</v>
      </c>
      <c r="I75" s="1492">
        <v>2018</v>
      </c>
      <c r="J75" s="1506" t="s">
        <v>1899</v>
      </c>
    </row>
    <row r="76" spans="1:13">
      <c r="A76" s="1504" t="s">
        <v>438</v>
      </c>
      <c r="D76" s="1498">
        <v>2000000</v>
      </c>
      <c r="E76" s="1505">
        <v>700000</v>
      </c>
      <c r="F76" s="1498">
        <v>200000</v>
      </c>
      <c r="G76" s="1484">
        <f t="shared" si="3"/>
        <v>500000</v>
      </c>
      <c r="H76" s="1499" t="s">
        <v>389</v>
      </c>
      <c r="I76" s="1492">
        <v>2018</v>
      </c>
      <c r="J76" s="1492"/>
    </row>
    <row r="77" spans="1:13">
      <c r="A77" s="1504" t="s">
        <v>1900</v>
      </c>
      <c r="D77" s="1498">
        <v>2400000</v>
      </c>
      <c r="E77" s="1505">
        <v>2400000</v>
      </c>
      <c r="F77" s="1498">
        <f>D77-E77</f>
        <v>0</v>
      </c>
      <c r="G77" s="1484">
        <f t="shared" si="3"/>
        <v>2400000</v>
      </c>
      <c r="H77" s="1499" t="s">
        <v>389</v>
      </c>
      <c r="I77" s="1492">
        <v>2020</v>
      </c>
      <c r="J77" s="1492"/>
    </row>
    <row r="78" spans="1:13">
      <c r="A78" s="1504" t="s">
        <v>485</v>
      </c>
      <c r="D78" s="1498">
        <v>14513708</v>
      </c>
      <c r="E78" s="1505">
        <v>14777675</v>
      </c>
      <c r="F78" s="1498">
        <v>11709896</v>
      </c>
      <c r="G78" s="1484">
        <f t="shared" si="3"/>
        <v>3067779</v>
      </c>
      <c r="H78" s="1499" t="s">
        <v>389</v>
      </c>
      <c r="I78" s="1492">
        <v>2020</v>
      </c>
      <c r="J78" s="1492"/>
    </row>
    <row r="79" spans="1:13" ht="17.25" customHeight="1">
      <c r="A79" s="2941" t="s">
        <v>533</v>
      </c>
      <c r="D79" s="2942">
        <v>30250000</v>
      </c>
      <c r="E79" s="2943">
        <v>31446800</v>
      </c>
      <c r="F79" s="2942">
        <v>0</v>
      </c>
      <c r="G79" s="2937">
        <f t="shared" si="3"/>
        <v>31446800</v>
      </c>
      <c r="H79" s="2944" t="s">
        <v>389</v>
      </c>
      <c r="I79" s="2939" t="s">
        <v>1868</v>
      </c>
      <c r="J79" s="2945" t="s">
        <v>1901</v>
      </c>
    </row>
    <row r="80" spans="1:13" ht="17.25" customHeight="1">
      <c r="A80" s="1487" t="s">
        <v>1950</v>
      </c>
      <c r="D80" s="1509">
        <v>2500000</v>
      </c>
      <c r="E80" s="1489">
        <v>2500000</v>
      </c>
      <c r="F80" s="1489">
        <v>0</v>
      </c>
      <c r="G80" s="1489">
        <f t="shared" si="3"/>
        <v>2500000</v>
      </c>
      <c r="H80" s="1487" t="s">
        <v>389</v>
      </c>
      <c r="I80" s="2940" t="s">
        <v>2307</v>
      </c>
      <c r="J80" s="1506"/>
    </row>
    <row r="81" spans="1:12" ht="17.25" customHeight="1" thickBot="1">
      <c r="A81" s="1485" t="s">
        <v>2614</v>
      </c>
      <c r="D81" s="1502">
        <v>98118000</v>
      </c>
      <c r="E81" s="1494">
        <v>98118000</v>
      </c>
      <c r="F81" s="1494">
        <v>77766000</v>
      </c>
      <c r="G81" s="1494">
        <f t="shared" si="3"/>
        <v>20352000</v>
      </c>
      <c r="H81" s="1495" t="s">
        <v>389</v>
      </c>
      <c r="I81" s="2946" t="s">
        <v>2307</v>
      </c>
      <c r="J81" s="1508"/>
    </row>
    <row r="82" spans="1:12">
      <c r="D82" s="1469"/>
      <c r="E82" s="1469"/>
      <c r="F82" s="1469"/>
      <c r="G82" s="1469"/>
      <c r="H82" s="1469"/>
    </row>
    <row r="83" spans="1:12" ht="14.25">
      <c r="A83" s="1466" t="s">
        <v>416</v>
      </c>
      <c r="D83" s="1469">
        <f>SUM(D75:D81)</f>
        <v>195781708</v>
      </c>
      <c r="E83" s="1469">
        <f>SUM(E75:E81)</f>
        <v>181942475</v>
      </c>
      <c r="F83" s="1469">
        <f>SUM(F75:F81)</f>
        <v>100275896</v>
      </c>
      <c r="G83" s="1469">
        <f>SUM(G75:G81)</f>
        <v>81666579</v>
      </c>
      <c r="H83" s="1469"/>
      <c r="I83" s="1469"/>
    </row>
    <row r="84" spans="1:12" ht="14.25">
      <c r="A84" s="1466"/>
      <c r="D84" s="1469"/>
      <c r="E84" s="1469"/>
      <c r="F84" s="1469"/>
      <c r="G84" s="1469"/>
      <c r="H84" s="1469"/>
      <c r="I84" s="1469"/>
    </row>
    <row r="85" spans="1:12" ht="15.4" thickBot="1">
      <c r="A85" s="1470" t="s">
        <v>426</v>
      </c>
      <c r="E85" s="1469"/>
    </row>
    <row r="86" spans="1:12" ht="14.65" thickBot="1">
      <c r="A86" s="1472"/>
      <c r="D86" s="1471" t="s">
        <v>370</v>
      </c>
      <c r="E86" s="1473" t="s">
        <v>1854</v>
      </c>
      <c r="F86" s="1463" t="s">
        <v>375</v>
      </c>
      <c r="G86" s="1463" t="s">
        <v>379</v>
      </c>
      <c r="H86" s="1463" t="s">
        <v>380</v>
      </c>
      <c r="I86" s="1463" t="s">
        <v>381</v>
      </c>
      <c r="J86" s="1463" t="s">
        <v>382</v>
      </c>
      <c r="K86" s="1465" t="s">
        <v>139</v>
      </c>
      <c r="L86" s="1465" t="s">
        <v>1810</v>
      </c>
    </row>
    <row r="87" spans="1:12">
      <c r="A87" s="1504" t="s">
        <v>433</v>
      </c>
      <c r="D87" s="1509">
        <v>4100000</v>
      </c>
      <c r="E87" s="1505">
        <v>4100000</v>
      </c>
      <c r="F87" s="1485" t="s">
        <v>389</v>
      </c>
      <c r="G87" s="1485" t="s">
        <v>1825</v>
      </c>
      <c r="H87" s="1487" t="s">
        <v>387</v>
      </c>
      <c r="I87" s="1487" t="s">
        <v>387</v>
      </c>
      <c r="J87" s="1487" t="s">
        <v>387</v>
      </c>
      <c r="K87" s="1487" t="s">
        <v>387</v>
      </c>
      <c r="L87" s="1499">
        <v>2021</v>
      </c>
    </row>
    <row r="88" spans="1:12">
      <c r="A88" s="1504" t="s">
        <v>1902</v>
      </c>
      <c r="D88" s="1509">
        <v>25000000</v>
      </c>
      <c r="E88" s="1505">
        <v>25000000</v>
      </c>
      <c r="F88" s="1485" t="s">
        <v>389</v>
      </c>
      <c r="G88" s="1485" t="s">
        <v>1825</v>
      </c>
      <c r="H88" s="1487" t="s">
        <v>387</v>
      </c>
      <c r="I88" s="1487" t="s">
        <v>387</v>
      </c>
      <c r="J88" s="1487" t="s">
        <v>387</v>
      </c>
      <c r="K88" s="1487" t="s">
        <v>387</v>
      </c>
      <c r="L88" s="1499">
        <v>2021</v>
      </c>
    </row>
    <row r="89" spans="1:12">
      <c r="A89" s="1504" t="s">
        <v>434</v>
      </c>
      <c r="D89" s="1509">
        <v>2900000</v>
      </c>
      <c r="E89" s="1505">
        <v>2900000</v>
      </c>
      <c r="F89" s="1485" t="s">
        <v>389</v>
      </c>
      <c r="G89" s="1485" t="s">
        <v>1825</v>
      </c>
      <c r="H89" s="1487" t="s">
        <v>387</v>
      </c>
      <c r="I89" s="1487" t="s">
        <v>387</v>
      </c>
      <c r="J89" s="1487" t="s">
        <v>387</v>
      </c>
      <c r="K89" s="1487" t="s">
        <v>387</v>
      </c>
      <c r="L89" s="1499">
        <v>2021</v>
      </c>
    </row>
    <row r="90" spans="1:12" ht="13.15" thickBot="1">
      <c r="A90" s="1510" t="s">
        <v>435</v>
      </c>
      <c r="D90" s="1502">
        <v>2900000</v>
      </c>
      <c r="E90" s="1511">
        <v>2550000</v>
      </c>
      <c r="F90" s="1495" t="s">
        <v>389</v>
      </c>
      <c r="G90" s="1512" t="s">
        <v>1825</v>
      </c>
      <c r="H90" s="1495" t="s">
        <v>387</v>
      </c>
      <c r="I90" s="1495" t="s">
        <v>387</v>
      </c>
      <c r="J90" s="1495" t="s">
        <v>387</v>
      </c>
      <c r="K90" s="1495" t="s">
        <v>387</v>
      </c>
      <c r="L90" s="1507">
        <v>2021</v>
      </c>
    </row>
    <row r="91" spans="1:12">
      <c r="D91" s="1469"/>
      <c r="E91" s="1469"/>
    </row>
    <row r="92" spans="1:12" ht="14.25">
      <c r="A92" s="1466" t="s">
        <v>416</v>
      </c>
      <c r="D92" s="1469">
        <f>SUM(D87:D90)</f>
        <v>34900000</v>
      </c>
      <c r="E92" s="1469">
        <v>34550000</v>
      </c>
      <c r="F92" s="1469"/>
      <c r="G92" s="1469"/>
    </row>
    <row r="93" spans="1:12" ht="15.4" thickBot="1">
      <c r="A93" s="1470" t="s">
        <v>441</v>
      </c>
      <c r="E93" s="1469"/>
    </row>
    <row r="94" spans="1:12" ht="14.65" thickBot="1">
      <c r="A94" s="1472"/>
      <c r="D94" s="1471" t="s">
        <v>370</v>
      </c>
      <c r="E94" s="1473" t="s">
        <v>1854</v>
      </c>
      <c r="F94" s="1463" t="s">
        <v>1896</v>
      </c>
      <c r="G94" s="1463" t="s">
        <v>418</v>
      </c>
      <c r="H94" s="1465" t="s">
        <v>375</v>
      </c>
      <c r="I94" s="1465" t="s">
        <v>361</v>
      </c>
      <c r="J94" s="1481" t="s">
        <v>1898</v>
      </c>
    </row>
    <row r="95" spans="1:12">
      <c r="A95" s="1504" t="s">
        <v>1903</v>
      </c>
      <c r="D95" s="1498">
        <v>16819000</v>
      </c>
      <c r="E95" s="1505">
        <v>14423486.039999999</v>
      </c>
      <c r="F95" s="1505">
        <v>0</v>
      </c>
      <c r="G95" s="1484">
        <f t="shared" ref="G95:G104" si="4">E95-F95</f>
        <v>14423486.039999999</v>
      </c>
      <c r="H95" s="1499" t="s">
        <v>389</v>
      </c>
      <c r="I95" s="1492">
        <v>2017</v>
      </c>
      <c r="J95" s="1492"/>
    </row>
    <row r="96" spans="1:12">
      <c r="A96" s="1504" t="s">
        <v>1904</v>
      </c>
      <c r="D96" s="1509">
        <v>1500000</v>
      </c>
      <c r="E96" s="1505">
        <v>800000</v>
      </c>
      <c r="F96" s="1505">
        <v>0</v>
      </c>
      <c r="G96" s="1484">
        <f t="shared" si="4"/>
        <v>800000</v>
      </c>
      <c r="H96" s="1499" t="s">
        <v>389</v>
      </c>
      <c r="I96" s="1492">
        <v>2018</v>
      </c>
      <c r="J96" s="1492"/>
    </row>
    <row r="97" spans="1:10">
      <c r="A97" s="1504" t="s">
        <v>1905</v>
      </c>
      <c r="D97" s="1498">
        <v>19360000</v>
      </c>
      <c r="E97" s="1505">
        <v>16319245.810000001</v>
      </c>
      <c r="F97" s="1505">
        <v>11551000</v>
      </c>
      <c r="G97" s="1484">
        <f t="shared" si="4"/>
        <v>4768245.8100000005</v>
      </c>
      <c r="H97" s="1499" t="s">
        <v>389</v>
      </c>
      <c r="I97" s="1492" t="s">
        <v>1858</v>
      </c>
      <c r="J97" s="1492"/>
    </row>
    <row r="98" spans="1:10">
      <c r="A98" s="1504" t="s">
        <v>443</v>
      </c>
      <c r="D98" s="1498">
        <v>18000000</v>
      </c>
      <c r="E98" s="1505">
        <v>11000000</v>
      </c>
      <c r="F98" s="1505">
        <v>0</v>
      </c>
      <c r="G98" s="1484">
        <f t="shared" si="4"/>
        <v>11000000</v>
      </c>
      <c r="H98" s="1499" t="s">
        <v>389</v>
      </c>
      <c r="I98" s="1492">
        <v>2020</v>
      </c>
      <c r="J98" s="1492"/>
    </row>
    <row r="99" spans="1:10">
      <c r="A99" s="1504" t="s">
        <v>1921</v>
      </c>
      <c r="D99" s="1498">
        <v>20000000</v>
      </c>
      <c r="E99" s="1505"/>
      <c r="F99" s="1505"/>
      <c r="G99" s="1484">
        <v>20000000</v>
      </c>
      <c r="H99" s="1499"/>
      <c r="I99" s="1516">
        <v>2022</v>
      </c>
      <c r="J99" s="1516"/>
    </row>
    <row r="100" spans="1:10">
      <c r="A100" s="1513" t="s">
        <v>1906</v>
      </c>
      <c r="D100" s="1509">
        <v>10609398.58</v>
      </c>
      <c r="E100" s="1489">
        <v>8931639.4299999997</v>
      </c>
      <c r="F100" s="1489">
        <v>0</v>
      </c>
      <c r="G100" s="1489">
        <f t="shared" si="4"/>
        <v>8931639.4299999997</v>
      </c>
      <c r="H100" s="1514" t="s">
        <v>389</v>
      </c>
      <c r="I100" s="1515">
        <v>2018</v>
      </c>
      <c r="J100" s="1515"/>
    </row>
    <row r="101" spans="1:10" ht="14.25">
      <c r="A101" s="2947" t="s">
        <v>1827</v>
      </c>
      <c r="B101" s="1574"/>
      <c r="C101" s="1574"/>
      <c r="D101" s="2948">
        <v>32000000</v>
      </c>
      <c r="E101" s="2949">
        <v>33349182.579999998</v>
      </c>
      <c r="F101" s="2950">
        <v>15505276</v>
      </c>
      <c r="G101" s="2951">
        <f t="shared" si="4"/>
        <v>17843906.579999998</v>
      </c>
      <c r="H101" s="2952" t="s">
        <v>389</v>
      </c>
      <c r="I101" s="2953">
        <v>2023</v>
      </c>
      <c r="J101" s="2954"/>
    </row>
    <row r="102" spans="1:10" ht="14.25">
      <c r="A102" s="2947" t="s">
        <v>445</v>
      </c>
      <c r="B102" s="1574"/>
      <c r="C102" s="1574"/>
      <c r="D102" s="2955">
        <v>20400000</v>
      </c>
      <c r="E102" s="2949">
        <v>20879368.190000001</v>
      </c>
      <c r="F102" s="2950">
        <v>7500000</v>
      </c>
      <c r="G102" s="2956">
        <f>SUM(E102-F102)</f>
        <v>13379368.190000001</v>
      </c>
      <c r="H102" s="2952" t="s">
        <v>389</v>
      </c>
      <c r="I102" s="2957">
        <v>2023</v>
      </c>
      <c r="J102" s="2947"/>
    </row>
    <row r="103" spans="1:10" ht="14.25">
      <c r="A103" s="2958" t="s">
        <v>1957</v>
      </c>
      <c r="B103" s="1574"/>
      <c r="C103" s="1574"/>
      <c r="D103" s="2959">
        <v>2500000</v>
      </c>
      <c r="E103" s="2960">
        <v>2463608</v>
      </c>
      <c r="F103" s="2960">
        <v>0</v>
      </c>
      <c r="G103" s="2961">
        <f>SUM(E103-F103)</f>
        <v>2463608</v>
      </c>
      <c r="H103" s="2962" t="s">
        <v>389</v>
      </c>
      <c r="I103" s="2957">
        <v>2023</v>
      </c>
      <c r="J103" s="2947"/>
    </row>
    <row r="104" spans="1:10" ht="25.5">
      <c r="A104" s="2963" t="s">
        <v>1907</v>
      </c>
      <c r="C104" s="2964"/>
      <c r="D104" s="2965">
        <v>7078500</v>
      </c>
      <c r="E104" s="2966">
        <v>6814692</v>
      </c>
      <c r="F104" s="2966">
        <v>6282020</v>
      </c>
      <c r="G104" s="2936">
        <f t="shared" si="4"/>
        <v>532672</v>
      </c>
      <c r="H104" s="2967" t="s">
        <v>389</v>
      </c>
      <c r="I104" s="2939">
        <v>2019</v>
      </c>
      <c r="J104" s="2939"/>
    </row>
    <row r="105" spans="1:10">
      <c r="A105" s="2968" t="s">
        <v>2615</v>
      </c>
      <c r="D105" s="1489">
        <v>4500000</v>
      </c>
      <c r="E105" s="1489">
        <v>3900000</v>
      </c>
      <c r="F105" s="1489"/>
      <c r="G105" s="1489">
        <v>3900000</v>
      </c>
      <c r="H105" s="1487" t="s">
        <v>389</v>
      </c>
      <c r="I105" s="2940">
        <v>2024</v>
      </c>
      <c r="J105" s="2940"/>
    </row>
    <row r="106" spans="1:10">
      <c r="A106" s="2968" t="s">
        <v>2616</v>
      </c>
      <c r="D106" s="1489">
        <v>2300000</v>
      </c>
      <c r="E106" s="1489">
        <v>2100000</v>
      </c>
      <c r="F106" s="1489"/>
      <c r="G106" s="1489">
        <v>2100000</v>
      </c>
      <c r="H106" s="1487" t="s">
        <v>389</v>
      </c>
      <c r="I106" s="2940">
        <v>2024</v>
      </c>
      <c r="J106" s="2940"/>
    </row>
    <row r="107" spans="1:10">
      <c r="A107" s="2968" t="s">
        <v>2617</v>
      </c>
      <c r="D107" s="1489">
        <v>2100000</v>
      </c>
      <c r="E107" s="1489">
        <v>2100000</v>
      </c>
      <c r="F107" s="1489"/>
      <c r="G107" s="1489">
        <v>2100000</v>
      </c>
      <c r="H107" s="1487" t="s">
        <v>389</v>
      </c>
      <c r="I107" s="2940">
        <v>2024</v>
      </c>
      <c r="J107" s="2940"/>
    </row>
    <row r="108" spans="1:10" ht="28.5" customHeight="1">
      <c r="A108" s="1466" t="s">
        <v>416</v>
      </c>
      <c r="D108" s="1469">
        <f>SUM(D95:D107)</f>
        <v>157166898.57999998</v>
      </c>
      <c r="E108" s="1469">
        <f>SUM(E95:E107)</f>
        <v>123081222.05</v>
      </c>
      <c r="F108" s="1469">
        <f>SUM(F95:F104)</f>
        <v>40838296</v>
      </c>
      <c r="G108" s="1469">
        <v>102242925</v>
      </c>
    </row>
    <row r="109" spans="1:10" ht="14.25">
      <c r="A109" s="1466"/>
      <c r="D109" s="1469"/>
      <c r="E109" s="1469"/>
      <c r="F109" s="1469"/>
      <c r="G109" s="1469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topLeftCell="A25" workbookViewId="0"/>
  </sheetViews>
  <sheetFormatPr defaultRowHeight="12.75" outlineLevelCol="1"/>
  <cols>
    <col min="1" max="1" width="18" customWidth="1"/>
    <col min="2" max="2" width="8" style="3044" bestFit="1" customWidth="1"/>
    <col min="3" max="3" width="36.73046875" customWidth="1"/>
    <col min="4" max="4" width="3.265625" bestFit="1" customWidth="1"/>
    <col min="5" max="5" width="3.86328125" bestFit="1" customWidth="1"/>
    <col min="6" max="6" width="5.59765625" bestFit="1" customWidth="1"/>
    <col min="7" max="8" width="10" bestFit="1" customWidth="1" outlineLevel="1"/>
    <col min="9" max="9" width="9" bestFit="1" customWidth="1" outlineLevel="1"/>
    <col min="10" max="11" width="8.265625" bestFit="1" customWidth="1" outlineLevel="1"/>
    <col min="12" max="12" width="9.265625" bestFit="1" customWidth="1" outlineLevel="1"/>
    <col min="13" max="13" width="6.59765625" bestFit="1" customWidth="1" outlineLevel="1"/>
    <col min="14" max="14" width="10.265625" bestFit="1" customWidth="1"/>
    <col min="15" max="15" width="12.59765625" style="3031" hidden="1" customWidth="1"/>
  </cols>
  <sheetData>
    <row r="1" spans="1:16" ht="27" customHeight="1">
      <c r="A1" s="3017" t="s">
        <v>2698</v>
      </c>
      <c r="B1" s="3017" t="s">
        <v>2699</v>
      </c>
      <c r="C1" s="3018" t="s">
        <v>2700</v>
      </c>
      <c r="D1" s="3018" t="s">
        <v>2701</v>
      </c>
      <c r="E1" s="3018" t="s">
        <v>2702</v>
      </c>
      <c r="F1" s="3018" t="s">
        <v>2703</v>
      </c>
      <c r="G1" s="3018" t="s">
        <v>2704</v>
      </c>
      <c r="H1" s="3018" t="s">
        <v>2705</v>
      </c>
      <c r="I1" s="3018" t="s">
        <v>152</v>
      </c>
      <c r="J1" s="3018" t="s">
        <v>2706</v>
      </c>
      <c r="K1" s="3018" t="s">
        <v>2707</v>
      </c>
      <c r="L1" s="3018" t="s">
        <v>2708</v>
      </c>
      <c r="M1" s="3018" t="s">
        <v>2709</v>
      </c>
      <c r="N1" s="3018" t="s">
        <v>858</v>
      </c>
      <c r="O1" s="3019" t="s">
        <v>2710</v>
      </c>
    </row>
    <row r="2" spans="1:16" ht="23.25">
      <c r="A2" s="3020" t="s">
        <v>2711</v>
      </c>
      <c r="B2" s="3021" t="s">
        <v>2712</v>
      </c>
      <c r="C2" s="3022" t="s">
        <v>2713</v>
      </c>
      <c r="D2" s="3023">
        <v>118</v>
      </c>
      <c r="E2" s="3024">
        <v>6</v>
      </c>
      <c r="F2" s="3025">
        <v>708</v>
      </c>
      <c r="G2" s="3026">
        <v>1600000</v>
      </c>
      <c r="H2" s="3026">
        <v>700000</v>
      </c>
      <c r="I2" s="3027"/>
      <c r="J2" s="3027"/>
      <c r="K2" s="3028"/>
      <c r="L2" s="3028"/>
      <c r="M2" s="3029" t="s">
        <v>2714</v>
      </c>
      <c r="N2" s="3030">
        <f>SUM(G2:M2)</f>
        <v>2300000</v>
      </c>
    </row>
    <row r="3" spans="1:16">
      <c r="A3" s="3020" t="s">
        <v>2711</v>
      </c>
      <c r="B3" s="3021" t="s">
        <v>2712</v>
      </c>
      <c r="C3" s="3022" t="s">
        <v>2715</v>
      </c>
      <c r="D3" s="3023">
        <v>108</v>
      </c>
      <c r="E3" s="3024">
        <v>6</v>
      </c>
      <c r="F3" s="3025">
        <v>648</v>
      </c>
      <c r="G3" s="3026">
        <v>1480000</v>
      </c>
      <c r="H3" s="3026">
        <v>498000</v>
      </c>
      <c r="I3" s="3027"/>
      <c r="J3" s="3027"/>
      <c r="K3" s="3028"/>
      <c r="L3" s="3028"/>
      <c r="M3" s="3029"/>
      <c r="N3" s="3030">
        <f>SUM(G3:M3)</f>
        <v>1978000</v>
      </c>
    </row>
    <row r="4" spans="1:16" ht="23.25">
      <c r="A4" s="3020" t="s">
        <v>2711</v>
      </c>
      <c r="B4" s="3021" t="s">
        <v>2712</v>
      </c>
      <c r="C4" s="3022" t="s">
        <v>2716</v>
      </c>
      <c r="D4" s="3023">
        <v>145</v>
      </c>
      <c r="E4" s="3024">
        <v>6</v>
      </c>
      <c r="F4" s="3025">
        <v>870</v>
      </c>
      <c r="G4" s="3026">
        <v>1950000</v>
      </c>
      <c r="H4" s="3026">
        <v>1465000</v>
      </c>
      <c r="I4" s="3027"/>
      <c r="J4" s="3027"/>
      <c r="K4" s="3028"/>
      <c r="L4" s="3028"/>
      <c r="M4" s="3029"/>
      <c r="N4" s="3030">
        <f t="shared" ref="N4:N25" si="0">SUM(G4:M4)</f>
        <v>3415000</v>
      </c>
    </row>
    <row r="5" spans="1:16" ht="23.25">
      <c r="A5" s="3032" t="s">
        <v>413</v>
      </c>
      <c r="B5" s="3033">
        <v>2025</v>
      </c>
      <c r="C5" s="3022" t="s">
        <v>2717</v>
      </c>
      <c r="D5" s="3023">
        <v>330</v>
      </c>
      <c r="E5" s="3024">
        <v>7</v>
      </c>
      <c r="F5" s="3025">
        <f>D5*E5</f>
        <v>2310</v>
      </c>
      <c r="G5" s="3026">
        <v>4770000</v>
      </c>
      <c r="H5" s="3026"/>
      <c r="I5" s="3029"/>
      <c r="J5" s="3029"/>
      <c r="K5" s="3029"/>
      <c r="L5" s="3029"/>
      <c r="M5" s="3029"/>
      <c r="N5" s="3030">
        <f t="shared" si="0"/>
        <v>4770000</v>
      </c>
      <c r="O5" s="3031">
        <f>N5/F5</f>
        <v>2064.9350649350649</v>
      </c>
    </row>
    <row r="6" spans="1:16" ht="23.25">
      <c r="A6" s="3034" t="s">
        <v>2718</v>
      </c>
      <c r="B6" s="3035" t="s">
        <v>400</v>
      </c>
      <c r="C6" s="3022" t="s">
        <v>2719</v>
      </c>
      <c r="D6" s="3023">
        <v>80</v>
      </c>
      <c r="E6" s="3024">
        <v>4</v>
      </c>
      <c r="F6" s="3025">
        <v>320</v>
      </c>
      <c r="G6" s="3026">
        <v>650000</v>
      </c>
      <c r="H6" s="3026" t="s">
        <v>2720</v>
      </c>
      <c r="I6" s="3029" t="s">
        <v>2721</v>
      </c>
      <c r="J6" s="3029" t="s">
        <v>2722</v>
      </c>
      <c r="K6" s="3029" t="s">
        <v>2722</v>
      </c>
      <c r="L6" s="3029"/>
      <c r="M6" s="3029" t="s">
        <v>2714</v>
      </c>
      <c r="N6" s="3030">
        <f t="shared" si="0"/>
        <v>650000</v>
      </c>
      <c r="O6" s="3031">
        <f t="shared" ref="O6:O25" si="1">N6/F6</f>
        <v>2031.25</v>
      </c>
    </row>
    <row r="7" spans="1:16" ht="22.5">
      <c r="A7" s="3034" t="s">
        <v>2723</v>
      </c>
      <c r="B7" s="3035" t="s">
        <v>2724</v>
      </c>
      <c r="C7" s="3022" t="s">
        <v>2725</v>
      </c>
      <c r="D7" s="3023">
        <v>200</v>
      </c>
      <c r="E7" s="3024"/>
      <c r="F7" s="3025">
        <v>5</v>
      </c>
      <c r="G7" s="3026" t="s">
        <v>2726</v>
      </c>
      <c r="H7" s="3026" t="s">
        <v>2720</v>
      </c>
      <c r="I7" s="3029">
        <v>170000</v>
      </c>
      <c r="J7" s="3029" t="s">
        <v>2722</v>
      </c>
      <c r="K7" s="3029" t="s">
        <v>2722</v>
      </c>
      <c r="L7" s="3029"/>
      <c r="M7" s="3029" t="s">
        <v>2714</v>
      </c>
      <c r="N7" s="3030">
        <f t="shared" si="0"/>
        <v>170000</v>
      </c>
      <c r="O7" s="3031">
        <f t="shared" si="1"/>
        <v>34000</v>
      </c>
      <c r="P7" t="s">
        <v>2727</v>
      </c>
    </row>
    <row r="8" spans="1:16" ht="24" hidden="1">
      <c r="A8" s="3034" t="s">
        <v>2728</v>
      </c>
      <c r="B8" s="3035"/>
      <c r="C8" s="3022" t="s">
        <v>2729</v>
      </c>
      <c r="D8" s="3023">
        <v>160</v>
      </c>
      <c r="E8" s="3024">
        <v>1</v>
      </c>
      <c r="F8" s="3025">
        <v>160</v>
      </c>
      <c r="G8" s="3026"/>
      <c r="H8" s="3026" t="s">
        <v>2726</v>
      </c>
      <c r="I8" s="3029" t="s">
        <v>2721</v>
      </c>
      <c r="J8" s="3029" t="s">
        <v>2722</v>
      </c>
      <c r="K8" s="3029" t="s">
        <v>2722</v>
      </c>
      <c r="L8" s="3029" t="s">
        <v>2730</v>
      </c>
      <c r="M8" s="3029" t="s">
        <v>2721</v>
      </c>
      <c r="N8" s="3030">
        <f t="shared" si="0"/>
        <v>0</v>
      </c>
      <c r="O8" s="3031">
        <f t="shared" si="1"/>
        <v>0</v>
      </c>
    </row>
    <row r="9" spans="1:16" ht="22.5" hidden="1">
      <c r="A9" s="3034" t="s">
        <v>2731</v>
      </c>
      <c r="B9" s="3035"/>
      <c r="C9" s="3022" t="s">
        <v>2732</v>
      </c>
      <c r="D9" s="3023">
        <v>30</v>
      </c>
      <c r="E9" s="3024">
        <v>2</v>
      </c>
      <c r="F9" s="3025">
        <v>60</v>
      </c>
      <c r="G9" s="3026"/>
      <c r="H9" s="3026"/>
      <c r="I9" s="3029"/>
      <c r="J9" s="3029" t="s">
        <v>2733</v>
      </c>
      <c r="K9" s="3029" t="s">
        <v>2734</v>
      </c>
      <c r="L9" s="3029"/>
      <c r="M9" s="3029"/>
      <c r="N9" s="3030">
        <f t="shared" si="0"/>
        <v>0</v>
      </c>
      <c r="O9" s="3031">
        <f t="shared" si="1"/>
        <v>0</v>
      </c>
    </row>
    <row r="10" spans="1:16">
      <c r="A10" s="3032" t="s">
        <v>2735</v>
      </c>
      <c r="B10" s="3033">
        <v>2025</v>
      </c>
      <c r="C10" s="3022" t="s">
        <v>2736</v>
      </c>
      <c r="D10" s="3036"/>
      <c r="E10" s="3036"/>
      <c r="F10" s="3025">
        <v>560</v>
      </c>
      <c r="G10" s="3026">
        <v>1210000</v>
      </c>
      <c r="H10" s="3026"/>
      <c r="I10" s="3029"/>
      <c r="J10" s="3029"/>
      <c r="K10" s="3029"/>
      <c r="L10" s="3029"/>
      <c r="M10" s="3029"/>
      <c r="N10" s="3030">
        <f t="shared" si="0"/>
        <v>1210000</v>
      </c>
      <c r="O10" s="3031">
        <f t="shared" si="1"/>
        <v>2160.7142857142858</v>
      </c>
    </row>
    <row r="11" spans="1:16" ht="23.25">
      <c r="A11" s="3032" t="s">
        <v>2737</v>
      </c>
      <c r="B11" s="3033">
        <v>2025</v>
      </c>
      <c r="C11" s="3022" t="s">
        <v>2738</v>
      </c>
      <c r="D11" s="3036"/>
      <c r="E11" s="3036"/>
      <c r="F11" s="3025">
        <v>325</v>
      </c>
      <c r="G11" s="3026">
        <v>650000</v>
      </c>
      <c r="H11" s="3026"/>
      <c r="I11" s="3029"/>
      <c r="J11" s="3029">
        <v>50000</v>
      </c>
      <c r="K11" s="3029">
        <v>40000</v>
      </c>
      <c r="L11" s="3029"/>
      <c r="M11" s="3029"/>
      <c r="N11" s="3030">
        <f t="shared" si="0"/>
        <v>740000</v>
      </c>
      <c r="O11" s="3031">
        <f t="shared" si="1"/>
        <v>2276.9230769230771</v>
      </c>
    </row>
    <row r="12" spans="1:16">
      <c r="A12" s="3034" t="s">
        <v>2739</v>
      </c>
      <c r="B12" s="3035" t="s">
        <v>2712</v>
      </c>
      <c r="C12" s="3037" t="s">
        <v>2740</v>
      </c>
      <c r="D12" s="3023">
        <v>218</v>
      </c>
      <c r="E12" s="3024">
        <v>3.5</v>
      </c>
      <c r="F12" s="3038">
        <f t="shared" ref="F12:F13" si="2">D12*E12</f>
        <v>763</v>
      </c>
      <c r="G12" s="3026">
        <v>655000</v>
      </c>
      <c r="H12" s="3026"/>
      <c r="I12" s="3029"/>
      <c r="J12" s="3029"/>
      <c r="K12" s="3029"/>
      <c r="L12" s="3029"/>
      <c r="M12" s="3029"/>
      <c r="N12" s="3030">
        <f t="shared" si="0"/>
        <v>655000</v>
      </c>
      <c r="O12" s="3031">
        <f t="shared" si="1"/>
        <v>858.45347313237221</v>
      </c>
    </row>
    <row r="13" spans="1:16">
      <c r="A13" s="3034" t="s">
        <v>2741</v>
      </c>
      <c r="B13" s="3035" t="s">
        <v>2712</v>
      </c>
      <c r="C13" s="3037" t="s">
        <v>2740</v>
      </c>
      <c r="D13" s="3023">
        <v>120</v>
      </c>
      <c r="E13" s="3024">
        <v>4</v>
      </c>
      <c r="F13" s="3038">
        <f t="shared" si="2"/>
        <v>480</v>
      </c>
      <c r="G13" s="3026">
        <v>490000</v>
      </c>
      <c r="H13" s="3026"/>
      <c r="I13" s="3029"/>
      <c r="J13" s="3029"/>
      <c r="K13" s="3029"/>
      <c r="L13" s="3029"/>
      <c r="M13" s="3029"/>
      <c r="N13" s="3030">
        <f t="shared" si="0"/>
        <v>490000</v>
      </c>
      <c r="O13" s="3031">
        <f t="shared" si="1"/>
        <v>1020.8333333333334</v>
      </c>
    </row>
    <row r="14" spans="1:16" ht="23.25">
      <c r="A14" s="3032" t="s">
        <v>414</v>
      </c>
      <c r="B14" s="3033">
        <v>2025</v>
      </c>
      <c r="C14" s="3039" t="s">
        <v>2742</v>
      </c>
      <c r="D14" s="3036">
        <v>160</v>
      </c>
      <c r="E14" s="3036">
        <v>5</v>
      </c>
      <c r="F14" s="3038">
        <f>D14*E14</f>
        <v>800</v>
      </c>
      <c r="G14" s="3026">
        <v>2100000</v>
      </c>
      <c r="H14" s="3026"/>
      <c r="I14" s="3029"/>
      <c r="J14" s="3029"/>
      <c r="K14" s="3029"/>
      <c r="L14" s="3029"/>
      <c r="M14" s="3029"/>
      <c r="N14" s="3030">
        <f t="shared" si="0"/>
        <v>2100000</v>
      </c>
      <c r="O14" s="3031">
        <f t="shared" si="1"/>
        <v>2625</v>
      </c>
    </row>
    <row r="15" spans="1:16">
      <c r="A15" s="3034" t="s">
        <v>514</v>
      </c>
      <c r="B15" s="3035">
        <v>2025</v>
      </c>
      <c r="C15" s="3037" t="s">
        <v>2743</v>
      </c>
      <c r="D15" s="3036">
        <v>700</v>
      </c>
      <c r="E15" s="3036"/>
      <c r="F15" s="3038">
        <v>20</v>
      </c>
      <c r="G15" s="3026"/>
      <c r="H15" s="3026"/>
      <c r="I15" s="3029">
        <v>450000</v>
      </c>
      <c r="J15" s="3029"/>
      <c r="K15" s="3029"/>
      <c r="L15" s="3029"/>
      <c r="M15" s="3029"/>
      <c r="N15" s="3030">
        <f t="shared" si="0"/>
        <v>450000</v>
      </c>
      <c r="O15" s="3031">
        <f t="shared" si="1"/>
        <v>22500</v>
      </c>
    </row>
    <row r="16" spans="1:16" ht="23.25">
      <c r="A16" s="3034" t="s">
        <v>2744</v>
      </c>
      <c r="B16" s="3035">
        <v>2025</v>
      </c>
      <c r="C16" s="3039" t="s">
        <v>2745</v>
      </c>
      <c r="D16" s="3036">
        <v>30</v>
      </c>
      <c r="E16" s="3036"/>
      <c r="F16" s="3038">
        <v>35</v>
      </c>
      <c r="G16" s="3026"/>
      <c r="H16" s="3026"/>
      <c r="I16" s="3029"/>
      <c r="J16" s="3029"/>
      <c r="K16" s="3029"/>
      <c r="L16" s="3029">
        <v>110000</v>
      </c>
      <c r="M16" s="3029"/>
      <c r="N16" s="3030">
        <f t="shared" si="0"/>
        <v>110000</v>
      </c>
      <c r="O16" s="3031">
        <f t="shared" si="1"/>
        <v>3142.8571428571427</v>
      </c>
    </row>
    <row r="17" spans="1:16">
      <c r="A17" s="3034" t="s">
        <v>2746</v>
      </c>
      <c r="B17" s="3035">
        <v>2025</v>
      </c>
      <c r="C17" s="3037" t="s">
        <v>2747</v>
      </c>
      <c r="D17" s="3036"/>
      <c r="E17" s="3036"/>
      <c r="F17" s="3038"/>
      <c r="G17" s="3026">
        <v>3600000</v>
      </c>
      <c r="H17" s="3040"/>
      <c r="I17" s="3040"/>
      <c r="J17" s="3040"/>
      <c r="K17" s="3040"/>
      <c r="L17" s="3040"/>
      <c r="M17" s="3040"/>
      <c r="N17" s="3030">
        <f t="shared" si="0"/>
        <v>3600000</v>
      </c>
    </row>
    <row r="18" spans="1:16">
      <c r="A18" s="3034" t="s">
        <v>2748</v>
      </c>
      <c r="B18" s="3035"/>
      <c r="C18" s="3037"/>
      <c r="D18" s="3036"/>
      <c r="E18" s="3036"/>
      <c r="F18" s="3038">
        <v>820</v>
      </c>
      <c r="G18" s="3026"/>
      <c r="H18" s="3040"/>
      <c r="I18" s="3040"/>
      <c r="J18" s="3040"/>
      <c r="K18" s="3040"/>
      <c r="L18" s="3040">
        <v>730000</v>
      </c>
      <c r="M18" s="3040"/>
      <c r="N18" s="3030">
        <f t="shared" si="0"/>
        <v>730000</v>
      </c>
      <c r="O18" s="3031">
        <f t="shared" si="1"/>
        <v>890.2439024390244</v>
      </c>
    </row>
    <row r="19" spans="1:16" ht="23.25">
      <c r="A19" s="3034" t="s">
        <v>2749</v>
      </c>
      <c r="B19" s="3035">
        <v>2025</v>
      </c>
      <c r="C19" s="3039" t="s">
        <v>2750</v>
      </c>
      <c r="D19" s="3036">
        <v>58</v>
      </c>
      <c r="E19" s="3036">
        <v>0.33</v>
      </c>
      <c r="F19" s="3038">
        <f>D19*E19</f>
        <v>19.14</v>
      </c>
      <c r="G19" s="3026"/>
      <c r="H19" s="3040"/>
      <c r="I19" s="3040"/>
      <c r="J19" s="3040"/>
      <c r="K19" s="3040"/>
      <c r="L19" s="3040">
        <v>39500</v>
      </c>
      <c r="M19" s="3040"/>
      <c r="N19" s="3030">
        <f t="shared" si="0"/>
        <v>39500</v>
      </c>
      <c r="O19" s="3031">
        <f t="shared" si="1"/>
        <v>2063.7408568443052</v>
      </c>
    </row>
    <row r="20" spans="1:16">
      <c r="A20" s="3034" t="s">
        <v>2751</v>
      </c>
      <c r="B20" s="3035">
        <v>2025</v>
      </c>
      <c r="C20" s="3039" t="s">
        <v>2752</v>
      </c>
      <c r="D20" s="3036"/>
      <c r="E20" s="3036"/>
      <c r="F20" s="3038">
        <v>104</v>
      </c>
      <c r="G20" s="3026"/>
      <c r="H20" s="3040">
        <v>184840</v>
      </c>
      <c r="I20" s="3040"/>
      <c r="J20" s="3040"/>
      <c r="K20" s="3040"/>
      <c r="L20" s="3040"/>
      <c r="M20" s="3040"/>
      <c r="N20" s="3030">
        <f t="shared" si="0"/>
        <v>184840</v>
      </c>
      <c r="O20" s="3031">
        <f t="shared" si="1"/>
        <v>1777.3076923076924</v>
      </c>
    </row>
    <row r="21" spans="1:16">
      <c r="A21" s="3034" t="s">
        <v>2753</v>
      </c>
      <c r="B21" s="3035">
        <v>2025</v>
      </c>
      <c r="C21" s="3039" t="s">
        <v>2754</v>
      </c>
      <c r="D21" s="3036"/>
      <c r="E21" s="3036"/>
      <c r="F21" s="3038">
        <f>160+35</f>
        <v>195</v>
      </c>
      <c r="G21" s="3026"/>
      <c r="H21" s="3040"/>
      <c r="I21" s="3040"/>
      <c r="J21" s="3040"/>
      <c r="K21" s="3040"/>
      <c r="L21" s="3040"/>
      <c r="M21" s="3040"/>
      <c r="N21" s="3030">
        <v>280000</v>
      </c>
      <c r="O21" s="3031">
        <f t="shared" si="1"/>
        <v>1435.8974358974358</v>
      </c>
    </row>
    <row r="22" spans="1:16">
      <c r="A22" s="3034" t="s">
        <v>2755</v>
      </c>
      <c r="B22" s="3035">
        <v>2025</v>
      </c>
      <c r="C22" s="3037" t="s">
        <v>2756</v>
      </c>
      <c r="D22" s="3036"/>
      <c r="E22" s="3036"/>
      <c r="F22" s="3038">
        <v>170</v>
      </c>
      <c r="G22" s="3026"/>
      <c r="H22" s="3040">
        <f>F22*P22</f>
        <v>297500</v>
      </c>
      <c r="I22" s="3040"/>
      <c r="J22" s="3040"/>
      <c r="K22" s="3040"/>
      <c r="L22" s="3040"/>
      <c r="M22" s="3040"/>
      <c r="N22" s="3030">
        <f t="shared" si="0"/>
        <v>297500</v>
      </c>
      <c r="O22" s="3031">
        <f t="shared" si="1"/>
        <v>1750</v>
      </c>
      <c r="P22" s="3041">
        <v>1750</v>
      </c>
    </row>
    <row r="23" spans="1:16" ht="25.5" customHeight="1">
      <c r="A23" s="3032" t="s">
        <v>2757</v>
      </c>
      <c r="B23" s="3033" t="s">
        <v>2712</v>
      </c>
      <c r="C23" s="3039" t="s">
        <v>2758</v>
      </c>
      <c r="D23" s="3036"/>
      <c r="E23" s="3042"/>
      <c r="F23" s="3038">
        <v>2124</v>
      </c>
      <c r="G23" s="3026">
        <v>2100000</v>
      </c>
      <c r="H23" s="3026">
        <v>2362000</v>
      </c>
      <c r="I23" s="3040"/>
      <c r="J23" s="3040"/>
      <c r="K23" s="3040"/>
      <c r="L23" s="3040"/>
      <c r="M23" s="3040"/>
      <c r="N23" s="3030">
        <f t="shared" si="0"/>
        <v>4462000</v>
      </c>
      <c r="O23" s="3031">
        <f t="shared" si="1"/>
        <v>2100.75329566855</v>
      </c>
    </row>
    <row r="24" spans="1:16" ht="25.5" customHeight="1">
      <c r="A24" s="3032" t="s">
        <v>2759</v>
      </c>
      <c r="B24" s="3033">
        <v>2025</v>
      </c>
      <c r="C24" s="3039"/>
      <c r="D24" s="3036"/>
      <c r="E24" s="3042"/>
      <c r="F24" s="3038"/>
      <c r="G24" s="3026">
        <v>900000</v>
      </c>
      <c r="H24" s="3026"/>
      <c r="I24" s="3040"/>
      <c r="J24" s="3040"/>
      <c r="K24" s="3040"/>
      <c r="L24" s="3040"/>
      <c r="M24" s="3040"/>
      <c r="N24" s="3030">
        <f t="shared" si="0"/>
        <v>900000</v>
      </c>
    </row>
    <row r="25" spans="1:16" ht="25.5" customHeight="1">
      <c r="A25" s="3032" t="s">
        <v>2760</v>
      </c>
      <c r="B25" s="3033">
        <v>2025</v>
      </c>
      <c r="C25" s="3039" t="s">
        <v>2761</v>
      </c>
      <c r="D25" s="3036"/>
      <c r="E25" s="3042"/>
      <c r="F25" s="3038">
        <v>130</v>
      </c>
      <c r="G25" s="3026"/>
      <c r="H25" s="3026"/>
      <c r="I25" s="3040"/>
      <c r="J25" s="3040"/>
      <c r="K25" s="3040"/>
      <c r="L25" s="3040">
        <v>395000</v>
      </c>
      <c r="M25" s="3040"/>
      <c r="N25" s="3030">
        <f t="shared" si="0"/>
        <v>395000</v>
      </c>
      <c r="O25" s="3031">
        <f t="shared" si="1"/>
        <v>3038.4615384615386</v>
      </c>
    </row>
    <row r="26" spans="1:16" ht="13.15">
      <c r="A26" s="3043"/>
    </row>
    <row r="27" spans="1:16" ht="13.15">
      <c r="A27" s="3043"/>
      <c r="C27" s="3045" t="s">
        <v>2762</v>
      </c>
    </row>
    <row r="28" spans="1:16" ht="13.15">
      <c r="A28" s="3043"/>
      <c r="C28" s="640"/>
      <c r="L28" s="3308" t="s">
        <v>599</v>
      </c>
      <c r="M28" s="3308"/>
      <c r="N28" s="3046">
        <f>SUM(N2:N27)</f>
        <v>29926840</v>
      </c>
    </row>
    <row r="29" spans="1:16" ht="13.15">
      <c r="A29" s="3043"/>
      <c r="C29" s="3047" t="s">
        <v>2763</v>
      </c>
    </row>
    <row r="30" spans="1:16" ht="13.15">
      <c r="A30" s="3043"/>
      <c r="C30" s="640"/>
      <c r="L30" s="3309" t="s">
        <v>2764</v>
      </c>
      <c r="M30" s="3310"/>
      <c r="N30" s="3048">
        <f>N22+N19+N18+N14+N11+N10+N5+N15+N21+N25+N24+N23</f>
        <v>16374000</v>
      </c>
    </row>
    <row r="31" spans="1:16" ht="13.15">
      <c r="A31" s="3043"/>
      <c r="C31" s="3049" t="s">
        <v>2765</v>
      </c>
    </row>
    <row r="32" spans="1:16" ht="13.15">
      <c r="A32" s="3043"/>
    </row>
    <row r="33" spans="1:1" ht="13.15">
      <c r="A33" s="3043"/>
    </row>
    <row r="34" spans="1:1" ht="13.15">
      <c r="A34" s="3043"/>
    </row>
    <row r="35" spans="1:1" ht="13.15">
      <c r="A35" s="3043"/>
    </row>
    <row r="36" spans="1:1" ht="13.15">
      <c r="A36" s="3043"/>
    </row>
    <row r="37" spans="1:1" ht="13.15">
      <c r="A37" s="3043"/>
    </row>
    <row r="38" spans="1:1" ht="13.15">
      <c r="A38" s="3043"/>
    </row>
    <row r="39" spans="1:1" ht="13.15">
      <c r="A39" s="3043"/>
    </row>
    <row r="40" spans="1:1" ht="13.15">
      <c r="A40" s="3043"/>
    </row>
    <row r="41" spans="1:1" ht="13.15">
      <c r="A41" s="3043"/>
    </row>
    <row r="42" spans="1:1" ht="13.15">
      <c r="A42" s="3043"/>
    </row>
    <row r="43" spans="1:1" ht="13.15">
      <c r="A43" s="3043"/>
    </row>
    <row r="44" spans="1:1" ht="13.15">
      <c r="A44" s="3043"/>
    </row>
    <row r="45" spans="1:1" ht="13.15">
      <c r="A45" s="3043"/>
    </row>
    <row r="46" spans="1:1" ht="13.15">
      <c r="A46" s="3043"/>
    </row>
    <row r="47" spans="1:1" ht="13.15">
      <c r="A47" s="3043"/>
    </row>
    <row r="48" spans="1:1" ht="13.15">
      <c r="A48" s="3043"/>
    </row>
    <row r="49" spans="1:1" ht="13.15">
      <c r="A49" s="3043"/>
    </row>
    <row r="50" spans="1:1" ht="13.15">
      <c r="A50" s="3043"/>
    </row>
    <row r="51" spans="1:1" ht="13.15">
      <c r="A51" s="3043"/>
    </row>
    <row r="52" spans="1:1" ht="13.15">
      <c r="A52" s="3043"/>
    </row>
    <row r="53" spans="1:1" ht="13.15">
      <c r="A53" s="3043"/>
    </row>
    <row r="54" spans="1:1" ht="13.15">
      <c r="A54" s="3043"/>
    </row>
    <row r="55" spans="1:1" ht="13.15">
      <c r="A55" s="3043"/>
    </row>
    <row r="56" spans="1:1" ht="13.15">
      <c r="A56" s="3043"/>
    </row>
    <row r="57" spans="1:1" ht="13.15">
      <c r="A57" s="3043"/>
    </row>
    <row r="58" spans="1:1" ht="13.15">
      <c r="A58" s="3043"/>
    </row>
    <row r="59" spans="1:1" ht="13.15">
      <c r="A59" s="3043"/>
    </row>
    <row r="60" spans="1:1" ht="13.15">
      <c r="A60" s="3043"/>
    </row>
    <row r="61" spans="1:1" ht="13.15">
      <c r="A61" s="3043"/>
    </row>
    <row r="62" spans="1:1" ht="13.15">
      <c r="A62" s="3043"/>
    </row>
    <row r="63" spans="1:1" ht="13.15">
      <c r="A63" s="3043"/>
    </row>
    <row r="64" spans="1:1" ht="13.15">
      <c r="A64" s="3043"/>
    </row>
    <row r="65" spans="1:1" ht="13.15">
      <c r="A65" s="3043"/>
    </row>
    <row r="66" spans="1:1" ht="13.15">
      <c r="A66" s="3043"/>
    </row>
    <row r="67" spans="1:1" ht="13.15">
      <c r="A67" s="3043"/>
    </row>
    <row r="68" spans="1:1" ht="13.15">
      <c r="A68" s="3043"/>
    </row>
    <row r="69" spans="1:1" ht="13.15">
      <c r="A69" s="3043"/>
    </row>
    <row r="70" spans="1:1" ht="13.15">
      <c r="A70" s="3043"/>
    </row>
    <row r="71" spans="1:1" ht="13.15">
      <c r="A71" s="3043"/>
    </row>
    <row r="72" spans="1:1" ht="13.15">
      <c r="A72" s="3043"/>
    </row>
    <row r="73" spans="1:1" ht="13.15">
      <c r="A73" s="3043"/>
    </row>
    <row r="74" spans="1:1" ht="13.15">
      <c r="A74" s="3043"/>
    </row>
    <row r="75" spans="1:1" ht="13.15">
      <c r="A75" s="3043"/>
    </row>
    <row r="76" spans="1:1" ht="13.15">
      <c r="A76" s="3043"/>
    </row>
    <row r="77" spans="1:1" ht="13.15">
      <c r="A77" s="3043"/>
    </row>
    <row r="78" spans="1:1" ht="13.15">
      <c r="A78" s="3043"/>
    </row>
    <row r="79" spans="1:1" ht="13.15">
      <c r="A79" s="3043"/>
    </row>
    <row r="80" spans="1:1" ht="13.15">
      <c r="A80" s="3043"/>
    </row>
    <row r="81" spans="1:1" ht="13.15">
      <c r="A81" s="3043"/>
    </row>
    <row r="82" spans="1:1" ht="13.15">
      <c r="A82" s="3043"/>
    </row>
    <row r="83" spans="1:1" ht="13.15">
      <c r="A83" s="3043"/>
    </row>
    <row r="84" spans="1:1" ht="13.15">
      <c r="A84" s="3043"/>
    </row>
    <row r="85" spans="1:1" ht="13.15">
      <c r="A85" s="3043"/>
    </row>
    <row r="86" spans="1:1" ht="13.15">
      <c r="A86" s="3043"/>
    </row>
    <row r="87" spans="1:1" ht="13.15">
      <c r="A87" s="3043"/>
    </row>
    <row r="88" spans="1:1" ht="13.15">
      <c r="A88" s="3043"/>
    </row>
    <row r="89" spans="1:1" ht="13.15">
      <c r="A89" s="3043"/>
    </row>
    <row r="90" spans="1:1" ht="13.15">
      <c r="A90" s="3043"/>
    </row>
    <row r="91" spans="1:1" ht="13.15">
      <c r="A91" s="3043"/>
    </row>
    <row r="92" spans="1:1" ht="13.15">
      <c r="A92" s="3043"/>
    </row>
    <row r="93" spans="1:1" ht="13.15">
      <c r="A93" s="3043"/>
    </row>
    <row r="94" spans="1:1" ht="13.15">
      <c r="A94" s="3043"/>
    </row>
    <row r="95" spans="1:1" ht="13.15">
      <c r="A95" s="3043"/>
    </row>
    <row r="96" spans="1:1" ht="13.15">
      <c r="A96" s="3043"/>
    </row>
    <row r="97" spans="1:1" ht="13.15">
      <c r="A97" s="3043"/>
    </row>
    <row r="98" spans="1:1" ht="13.15">
      <c r="A98" s="3043"/>
    </row>
    <row r="99" spans="1:1" ht="13.15">
      <c r="A99" s="3043"/>
    </row>
    <row r="100" spans="1:1" ht="13.15">
      <c r="A100" s="3043"/>
    </row>
    <row r="101" spans="1:1" ht="13.15">
      <c r="A101" s="3043"/>
    </row>
    <row r="102" spans="1:1" ht="13.15">
      <c r="A102" s="3043"/>
    </row>
    <row r="103" spans="1:1" ht="13.15">
      <c r="A103" s="3043"/>
    </row>
    <row r="104" spans="1:1" ht="13.15">
      <c r="A104" s="3043"/>
    </row>
    <row r="105" spans="1:1" ht="13.15">
      <c r="A105" s="3043"/>
    </row>
    <row r="106" spans="1:1" ht="13.15">
      <c r="A106" s="3043"/>
    </row>
    <row r="107" spans="1:1" ht="13.15">
      <c r="A107" s="3043"/>
    </row>
    <row r="108" spans="1:1" ht="13.15">
      <c r="A108" s="3043"/>
    </row>
    <row r="109" spans="1:1" ht="13.15">
      <c r="A109" s="3043"/>
    </row>
    <row r="110" spans="1:1" ht="13.15">
      <c r="A110" s="3043"/>
    </row>
    <row r="111" spans="1:1" ht="13.15">
      <c r="A111" s="3043"/>
    </row>
    <row r="112" spans="1:1" ht="13.15">
      <c r="A112" s="3043"/>
    </row>
    <row r="113" spans="1:1" ht="13.15">
      <c r="A113" s="3043"/>
    </row>
    <row r="114" spans="1:1" ht="13.15">
      <c r="A114" s="3043"/>
    </row>
    <row r="115" spans="1:1" ht="13.15">
      <c r="A115" s="3043"/>
    </row>
    <row r="116" spans="1:1" ht="13.15">
      <c r="A116" s="3043"/>
    </row>
    <row r="117" spans="1:1" ht="13.15">
      <c r="A117" s="3043"/>
    </row>
    <row r="118" spans="1:1" ht="13.15">
      <c r="A118" s="3043"/>
    </row>
    <row r="119" spans="1:1" ht="13.15">
      <c r="A119" s="3043"/>
    </row>
    <row r="120" spans="1:1" ht="13.15">
      <c r="A120" s="3043"/>
    </row>
    <row r="121" spans="1:1" ht="13.15">
      <c r="A121" s="3043"/>
    </row>
    <row r="122" spans="1:1" ht="13.15">
      <c r="A122" s="3043"/>
    </row>
    <row r="123" spans="1:1" ht="13.15">
      <c r="A123" s="3043"/>
    </row>
    <row r="124" spans="1:1" ht="13.15">
      <c r="A124" s="3043"/>
    </row>
    <row r="125" spans="1:1" ht="13.15">
      <c r="A125" s="3043"/>
    </row>
    <row r="126" spans="1:1" ht="13.15">
      <c r="A126" s="3043"/>
    </row>
    <row r="127" spans="1:1" ht="13.15">
      <c r="A127" s="3043"/>
    </row>
    <row r="128" spans="1:1" ht="13.15">
      <c r="A128" s="3043"/>
    </row>
    <row r="129" spans="1:1" ht="13.15">
      <c r="A129" s="3043"/>
    </row>
    <row r="130" spans="1:1" ht="13.15">
      <c r="A130" s="3043"/>
    </row>
    <row r="131" spans="1:1" ht="13.15">
      <c r="A131" s="3043"/>
    </row>
    <row r="132" spans="1:1" ht="13.15">
      <c r="A132" s="3043"/>
    </row>
    <row r="133" spans="1:1" ht="13.15">
      <c r="A133" s="3043"/>
    </row>
    <row r="134" spans="1:1" ht="13.15">
      <c r="A134" s="3043"/>
    </row>
    <row r="135" spans="1:1" ht="13.15">
      <c r="A135" s="3043"/>
    </row>
    <row r="136" spans="1:1" ht="13.15">
      <c r="A136" s="3043"/>
    </row>
    <row r="137" spans="1:1" ht="13.15">
      <c r="A137" s="3043"/>
    </row>
    <row r="138" spans="1:1" ht="13.15">
      <c r="A138" s="3043"/>
    </row>
    <row r="139" spans="1:1" ht="13.15">
      <c r="A139" s="3043"/>
    </row>
    <row r="140" spans="1:1" ht="13.15">
      <c r="A140" s="3043"/>
    </row>
    <row r="141" spans="1:1" ht="13.15">
      <c r="A141" s="3043"/>
    </row>
    <row r="142" spans="1:1" ht="13.15">
      <c r="A142" s="3043"/>
    </row>
    <row r="143" spans="1:1" ht="13.15">
      <c r="A143" s="3043"/>
    </row>
    <row r="144" spans="1:1" ht="13.15">
      <c r="A144" s="3043"/>
    </row>
    <row r="145" spans="1:1" ht="13.15">
      <c r="A145" s="3043"/>
    </row>
    <row r="146" spans="1:1" ht="13.15">
      <c r="A146" s="3043"/>
    </row>
    <row r="147" spans="1:1" ht="13.15">
      <c r="A147" s="3043"/>
    </row>
    <row r="148" spans="1:1" ht="13.15">
      <c r="A148" s="3043"/>
    </row>
    <row r="149" spans="1:1" ht="13.15">
      <c r="A149" s="3043"/>
    </row>
    <row r="150" spans="1:1" ht="13.15">
      <c r="A150" s="3043"/>
    </row>
    <row r="151" spans="1:1" ht="13.15">
      <c r="A151" s="3043"/>
    </row>
    <row r="152" spans="1:1" ht="13.15">
      <c r="A152" s="3043"/>
    </row>
    <row r="153" spans="1:1" ht="13.15">
      <c r="A153" s="3043"/>
    </row>
    <row r="154" spans="1:1" ht="13.15">
      <c r="A154" s="3043"/>
    </row>
    <row r="155" spans="1:1" ht="13.15">
      <c r="A155" s="3043"/>
    </row>
    <row r="156" spans="1:1" ht="13.15">
      <c r="A156" s="3043"/>
    </row>
    <row r="157" spans="1:1" ht="13.15">
      <c r="A157" s="3043"/>
    </row>
    <row r="158" spans="1:1" ht="13.15">
      <c r="A158" s="3043"/>
    </row>
    <row r="159" spans="1:1" ht="13.15">
      <c r="A159" s="3043"/>
    </row>
    <row r="160" spans="1:1" ht="13.15">
      <c r="A160" s="3043"/>
    </row>
    <row r="161" spans="1:1" ht="13.15">
      <c r="A161" s="3043"/>
    </row>
    <row r="162" spans="1:1" ht="13.15">
      <c r="A162" s="3043"/>
    </row>
    <row r="163" spans="1:1" ht="13.15">
      <c r="A163" s="3043"/>
    </row>
    <row r="164" spans="1:1" ht="13.15">
      <c r="A164" s="3043"/>
    </row>
    <row r="165" spans="1:1" ht="13.15">
      <c r="A165" s="3043"/>
    </row>
    <row r="166" spans="1:1" ht="13.15">
      <c r="A166" s="3043"/>
    </row>
    <row r="167" spans="1:1" ht="13.15">
      <c r="A167" s="3043"/>
    </row>
    <row r="168" spans="1:1" ht="13.15">
      <c r="A168" s="3043"/>
    </row>
    <row r="169" spans="1:1" ht="13.15">
      <c r="A169" s="3043"/>
    </row>
    <row r="170" spans="1:1" ht="13.15">
      <c r="A170" s="3043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222</v>
      </c>
      <c r="C4" s="586">
        <f>+'Souhrn příjmů a výdajů 2025'!L6</f>
        <v>199085900</v>
      </c>
    </row>
    <row r="5" spans="2:3" ht="13.5" thickBot="1">
      <c r="B5" s="585" t="s">
        <v>224</v>
      </c>
      <c r="C5" s="586">
        <f>'Souhrn příjmů a výdajů 2025'!L30</f>
        <v>32560500</v>
      </c>
    </row>
    <row r="6" spans="2:3" ht="13.5" thickBot="1">
      <c r="B6" s="585" t="s">
        <v>227</v>
      </c>
      <c r="C6" s="586">
        <f>'Souhrn příjmů a výdajů 2025'!L88</f>
        <v>204478</v>
      </c>
    </row>
    <row r="7" spans="2:3" ht="13.5" thickBot="1">
      <c r="B7" s="585" t="s">
        <v>231</v>
      </c>
      <c r="C7" s="586">
        <f>'Souhrn příjmů a výdajů 2025'!L94</f>
        <v>37081936</v>
      </c>
    </row>
    <row r="8" spans="2:3" ht="13.5" thickBot="1">
      <c r="B8" s="585" t="s">
        <v>233</v>
      </c>
      <c r="C8" s="586">
        <f>'Souhrn příjmů a výdajů 2025'!L131</f>
        <v>48341104</v>
      </c>
    </row>
    <row r="9" spans="2:3">
      <c r="C9" s="9">
        <f>SUM(C4:C8)</f>
        <v>317273918</v>
      </c>
    </row>
    <row r="36" spans="2:3" ht="13.5" thickBot="1">
      <c r="B36" s="587" t="s">
        <v>239</v>
      </c>
      <c r="C36" s="586">
        <f>'Souhrn příjmů a výdajů 2025'!L142</f>
        <v>193288144.016444</v>
      </c>
    </row>
    <row r="37" spans="2:3" ht="13.5" thickBot="1">
      <c r="B37" s="588" t="s">
        <v>242</v>
      </c>
      <c r="C37" s="586">
        <f>'Souhrn příjmů a výdajů 2025'!L194</f>
        <v>105644080</v>
      </c>
    </row>
    <row r="38" spans="2:3" ht="13.5" thickBot="1">
      <c r="B38" s="588" t="s">
        <v>233</v>
      </c>
      <c r="C38" s="586">
        <f>'Souhrn příjmů a výdajů 2025'!L207</f>
        <v>18341693.983556002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61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779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780</v>
      </c>
      <c r="C3" s="114" t="s">
        <v>781</v>
      </c>
      <c r="D3" s="280" t="s">
        <v>7</v>
      </c>
      <c r="E3" s="300"/>
      <c r="F3" s="135"/>
      <c r="G3" s="135"/>
      <c r="H3" s="113" t="s">
        <v>780</v>
      </c>
      <c r="I3" s="114" t="s">
        <v>781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J122"/>
  <sheetViews>
    <sheetView workbookViewId="0">
      <selection activeCell="A5" sqref="A5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77" style="316" bestFit="1" customWidth="1"/>
    <col min="4" max="4" width="8.59765625" style="317" bestFit="1" customWidth="1"/>
    <col min="5" max="5" width="16" style="318" hidden="1" customWidth="1"/>
    <col min="6" max="6" width="15.73046875" style="318" hidden="1" customWidth="1"/>
    <col min="7" max="7" width="14" style="318" hidden="1" customWidth="1"/>
    <col min="8" max="8" width="14" style="316" hidden="1" customWidth="1"/>
    <col min="9" max="10" width="13.265625" style="316" bestFit="1" customWidth="1"/>
    <col min="11" max="16384" width="9" style="316"/>
  </cols>
  <sheetData>
    <row r="1" spans="2:10" ht="12" customHeight="1">
      <c r="B1" s="2328" t="s">
        <v>2345</v>
      </c>
      <c r="C1" s="2328"/>
      <c r="D1" s="2329"/>
      <c r="E1" s="2329"/>
      <c r="F1" s="2329"/>
      <c r="G1" s="2329"/>
      <c r="H1" s="2329"/>
      <c r="I1" s="2329"/>
      <c r="J1" s="2329"/>
    </row>
    <row r="2" spans="2:10" ht="12" customHeight="1">
      <c r="B2" s="2332"/>
      <c r="C2" s="2332"/>
      <c r="D2" s="2329"/>
      <c r="E2" s="2329"/>
      <c r="F2" s="2329"/>
      <c r="G2" s="2329"/>
      <c r="H2" s="2329"/>
      <c r="I2" s="2329"/>
      <c r="J2" s="2329"/>
    </row>
    <row r="3" spans="2:10" s="432" customFormat="1" ht="29.65" thickBot="1">
      <c r="B3" s="2335" t="s">
        <v>220</v>
      </c>
      <c r="C3" s="2336"/>
      <c r="D3" s="2337" t="s">
        <v>63</v>
      </c>
      <c r="E3" s="2338" t="s">
        <v>2107</v>
      </c>
      <c r="F3" s="2338" t="s">
        <v>2346</v>
      </c>
      <c r="G3" s="2338" t="s">
        <v>1934</v>
      </c>
      <c r="H3" s="2338" t="s">
        <v>2644</v>
      </c>
      <c r="I3" s="2338" t="s">
        <v>2766</v>
      </c>
      <c r="J3" s="2338" t="s">
        <v>2107</v>
      </c>
    </row>
    <row r="4" spans="2:10" ht="12" customHeight="1" thickBot="1">
      <c r="B4" s="2162"/>
      <c r="C4" s="2162"/>
      <c r="D4" s="2340"/>
      <c r="E4" s="2341"/>
      <c r="F4" s="2341"/>
      <c r="G4" s="2341"/>
      <c r="H4" s="2341"/>
      <c r="I4" s="2341"/>
      <c r="J4" s="2341"/>
    </row>
    <row r="5" spans="2:10" s="432" customFormat="1" ht="15" customHeight="1" thickBot="1">
      <c r="B5" s="2343" t="s">
        <v>221</v>
      </c>
      <c r="C5" s="2344" t="s">
        <v>222</v>
      </c>
      <c r="D5" s="2345"/>
      <c r="E5" s="2346">
        <v>170345711</v>
      </c>
      <c r="F5" s="2346">
        <v>175911229</v>
      </c>
      <c r="G5" s="2346">
        <v>191588330</v>
      </c>
      <c r="H5" s="2346">
        <v>191588330</v>
      </c>
      <c r="I5" s="2346">
        <v>191588330</v>
      </c>
      <c r="J5" s="2347">
        <v>191588330</v>
      </c>
    </row>
    <row r="6" spans="2:10" s="323" customFormat="1" ht="18" customHeight="1" outlineLevel="1" thickTop="1">
      <c r="B6" s="2349"/>
      <c r="C6" s="2350" t="s">
        <v>1142</v>
      </c>
      <c r="D6" s="2351">
        <v>1111</v>
      </c>
      <c r="E6" s="2203">
        <v>24855312</v>
      </c>
      <c r="F6" s="2203">
        <v>27863123</v>
      </c>
      <c r="G6" s="2203">
        <v>27863123</v>
      </c>
      <c r="H6" s="2203">
        <v>27863123</v>
      </c>
      <c r="I6" s="2203">
        <v>27863123</v>
      </c>
      <c r="J6" s="2352">
        <v>27863123</v>
      </c>
    </row>
    <row r="7" spans="2:10" s="323" customFormat="1" ht="18" customHeight="1" outlineLevel="1">
      <c r="B7" s="2349"/>
      <c r="C7" s="2354" t="s">
        <v>1144</v>
      </c>
      <c r="D7" s="2355">
        <v>1112</v>
      </c>
      <c r="E7" s="2213">
        <v>1716548</v>
      </c>
      <c r="F7" s="2213">
        <v>2369138</v>
      </c>
      <c r="G7" s="2213">
        <v>2369138</v>
      </c>
      <c r="H7" s="2213">
        <v>2369138</v>
      </c>
      <c r="I7" s="2213">
        <v>2369138</v>
      </c>
      <c r="J7" s="2356">
        <v>2369138</v>
      </c>
    </row>
    <row r="8" spans="2:10" s="323" customFormat="1" ht="18" customHeight="1" outlineLevel="1">
      <c r="B8" s="2349"/>
      <c r="C8" s="2354" t="s">
        <v>1143</v>
      </c>
      <c r="D8" s="2355">
        <v>1113</v>
      </c>
      <c r="E8" s="2213">
        <v>4953190</v>
      </c>
      <c r="F8" s="2213">
        <v>4995791</v>
      </c>
      <c r="G8" s="2213">
        <v>4995791</v>
      </c>
      <c r="H8" s="2213">
        <v>4995791</v>
      </c>
      <c r="I8" s="2213">
        <v>4995791</v>
      </c>
      <c r="J8" s="2356">
        <v>4995791</v>
      </c>
    </row>
    <row r="9" spans="2:10" s="323" customFormat="1" ht="18" customHeight="1" outlineLevel="1">
      <c r="B9" s="2349"/>
      <c r="C9" s="2354" t="s">
        <v>1145</v>
      </c>
      <c r="D9" s="2355">
        <v>1111</v>
      </c>
      <c r="E9" s="2213">
        <v>771800</v>
      </c>
      <c r="F9" s="2213">
        <v>1094834</v>
      </c>
      <c r="G9" s="2213">
        <v>1094834</v>
      </c>
      <c r="H9" s="2213">
        <v>1094834</v>
      </c>
      <c r="I9" s="2213">
        <v>1094834</v>
      </c>
      <c r="J9" s="2356">
        <v>1094834</v>
      </c>
    </row>
    <row r="10" spans="2:10" s="323" customFormat="1" ht="18" hidden="1" customHeight="1" outlineLevel="1">
      <c r="B10" s="2349"/>
      <c r="C10" s="2354" t="s">
        <v>2329</v>
      </c>
      <c r="D10" s="2355">
        <v>1122</v>
      </c>
      <c r="E10" s="2213">
        <v>2118860</v>
      </c>
      <c r="F10" s="2213"/>
      <c r="G10" s="2213"/>
      <c r="H10" s="2213"/>
      <c r="I10" s="2213"/>
      <c r="J10" s="2356"/>
    </row>
    <row r="11" spans="2:10" s="323" customFormat="1" ht="18" customHeight="1" outlineLevel="1">
      <c r="B11" s="2349"/>
      <c r="C11" s="2354" t="s">
        <v>15</v>
      </c>
      <c r="D11" s="2355">
        <v>1121</v>
      </c>
      <c r="E11" s="2213">
        <v>35922921</v>
      </c>
      <c r="F11" s="2213">
        <v>39502801</v>
      </c>
      <c r="G11" s="2213">
        <v>39502801</v>
      </c>
      <c r="H11" s="2213">
        <v>39502801</v>
      </c>
      <c r="I11" s="2213">
        <v>39502801</v>
      </c>
      <c r="J11" s="2356">
        <v>39502801</v>
      </c>
    </row>
    <row r="12" spans="2:10" ht="18" hidden="1" customHeight="1" outlineLevel="1">
      <c r="B12" s="2349"/>
      <c r="C12" s="2354" t="s">
        <v>16</v>
      </c>
      <c r="D12" s="2355">
        <v>1122</v>
      </c>
      <c r="E12" s="2213">
        <v>80505412</v>
      </c>
      <c r="F12" s="2213"/>
      <c r="G12" s="2213"/>
      <c r="H12" s="2213"/>
      <c r="I12" s="2213"/>
      <c r="J12" s="2356"/>
    </row>
    <row r="13" spans="2:10" s="433" customFormat="1" ht="18" customHeight="1" outlineLevel="1">
      <c r="B13" s="2349"/>
      <c r="C13" s="2354" t="s">
        <v>16</v>
      </c>
      <c r="D13" s="2355">
        <v>1211</v>
      </c>
      <c r="E13" s="2213">
        <v>80505412</v>
      </c>
      <c r="F13" s="2213">
        <v>77563518</v>
      </c>
      <c r="G13" s="2213">
        <v>77563518</v>
      </c>
      <c r="H13" s="2213">
        <v>77563518</v>
      </c>
      <c r="I13" s="2213">
        <v>77563518</v>
      </c>
      <c r="J13" s="2356">
        <v>77563518</v>
      </c>
    </row>
    <row r="14" spans="2:10" ht="18" customHeight="1" outlineLevel="1">
      <c r="B14" s="2357"/>
      <c r="C14" s="2358" t="s">
        <v>1932</v>
      </c>
      <c r="D14" s="2359" t="s">
        <v>17</v>
      </c>
      <c r="E14" s="2274">
        <v>26000</v>
      </c>
      <c r="F14" s="2274">
        <v>26000</v>
      </c>
      <c r="G14" s="2274">
        <v>26000</v>
      </c>
      <c r="H14" s="2274">
        <v>26000</v>
      </c>
      <c r="I14" s="2274">
        <v>26000</v>
      </c>
      <c r="J14" s="2360">
        <v>26000</v>
      </c>
    </row>
    <row r="15" spans="2:10" ht="18" customHeight="1" outlineLevel="1">
      <c r="B15" s="2361"/>
      <c r="C15" s="2362" t="s">
        <v>20</v>
      </c>
      <c r="D15" s="2363" t="s">
        <v>19</v>
      </c>
      <c r="E15" s="2364">
        <v>7326528</v>
      </c>
      <c r="F15" s="2364">
        <v>7924224</v>
      </c>
      <c r="G15" s="2364">
        <v>7924224</v>
      </c>
      <c r="H15" s="2364">
        <v>7924224</v>
      </c>
      <c r="I15" s="2364">
        <v>7924224</v>
      </c>
      <c r="J15" s="2365">
        <v>7924224</v>
      </c>
    </row>
    <row r="16" spans="2:10" ht="18" customHeight="1" outlineLevel="1">
      <c r="B16" s="2357"/>
      <c r="C16" s="2358" t="s">
        <v>21</v>
      </c>
      <c r="D16" s="2359">
        <v>1341</v>
      </c>
      <c r="E16" s="2274">
        <v>260000</v>
      </c>
      <c r="F16" s="2274">
        <v>260000</v>
      </c>
      <c r="G16" s="2274">
        <v>260000</v>
      </c>
      <c r="H16" s="2274">
        <v>260000</v>
      </c>
      <c r="I16" s="2274">
        <v>260000</v>
      </c>
      <c r="J16" s="2360">
        <v>260000</v>
      </c>
    </row>
    <row r="17" spans="2:10" ht="18" customHeight="1" outlineLevel="1">
      <c r="B17" s="2357"/>
      <c r="C17" s="2358" t="s">
        <v>22</v>
      </c>
      <c r="D17" s="2359">
        <v>1343</v>
      </c>
      <c r="E17" s="2274">
        <v>75000</v>
      </c>
      <c r="F17" s="2274">
        <v>75000</v>
      </c>
      <c r="G17" s="2274">
        <v>75000</v>
      </c>
      <c r="H17" s="2274">
        <v>75000</v>
      </c>
      <c r="I17" s="2274">
        <v>75000</v>
      </c>
      <c r="J17" s="2360">
        <v>75000</v>
      </c>
    </row>
    <row r="18" spans="2:10" ht="18" customHeight="1" outlineLevel="1">
      <c r="B18" s="2357"/>
      <c r="C18" s="2358" t="s">
        <v>23</v>
      </c>
      <c r="D18" s="2359">
        <v>1344</v>
      </c>
      <c r="E18" s="2274">
        <v>3000</v>
      </c>
      <c r="F18" s="2274">
        <v>3000</v>
      </c>
      <c r="G18" s="2274">
        <v>3000</v>
      </c>
      <c r="H18" s="2274">
        <v>3000</v>
      </c>
      <c r="I18" s="2274">
        <v>3000</v>
      </c>
      <c r="J18" s="2360">
        <v>3000</v>
      </c>
    </row>
    <row r="19" spans="2:10" s="433" customFormat="1" ht="14.65" outlineLevel="1">
      <c r="B19" s="2357"/>
      <c r="C19" s="2358" t="s">
        <v>24</v>
      </c>
      <c r="D19" s="2359">
        <v>1345</v>
      </c>
      <c r="E19" s="2274">
        <v>20000</v>
      </c>
      <c r="F19" s="2274">
        <v>20000</v>
      </c>
      <c r="G19" s="2274">
        <v>20000</v>
      </c>
      <c r="H19" s="2274">
        <v>20000</v>
      </c>
      <c r="I19" s="2274">
        <v>20000</v>
      </c>
      <c r="J19" s="2360">
        <v>20000</v>
      </c>
    </row>
    <row r="20" spans="2:10" s="433" customFormat="1" ht="14.65" hidden="1" outlineLevel="1">
      <c r="B20" s="2357"/>
      <c r="C20" s="2358" t="s">
        <v>25</v>
      </c>
      <c r="D20" s="2359">
        <v>1347</v>
      </c>
      <c r="E20" s="2274">
        <v>0</v>
      </c>
      <c r="F20" s="2274">
        <v>0</v>
      </c>
      <c r="G20" s="2274">
        <v>0</v>
      </c>
      <c r="H20" s="2274">
        <v>0</v>
      </c>
      <c r="I20" s="2274">
        <v>0</v>
      </c>
      <c r="J20" s="2360">
        <v>0</v>
      </c>
    </row>
    <row r="21" spans="2:10" s="433" customFormat="1" ht="18" customHeight="1" outlineLevel="1">
      <c r="B21" s="2357"/>
      <c r="C21" s="2358" t="s">
        <v>27</v>
      </c>
      <c r="D21" s="2359" t="s">
        <v>26</v>
      </c>
      <c r="E21" s="2274">
        <v>2500000</v>
      </c>
      <c r="F21" s="2274">
        <v>2520000</v>
      </c>
      <c r="G21" s="2274">
        <v>2520000</v>
      </c>
      <c r="H21" s="2274">
        <v>2520000</v>
      </c>
      <c r="I21" s="2274">
        <v>2520000</v>
      </c>
      <c r="J21" s="2360">
        <v>2520000</v>
      </c>
    </row>
    <row r="22" spans="2:10" s="432" customFormat="1" ht="14.65">
      <c r="B22" s="2361"/>
      <c r="C22" s="2367" t="s">
        <v>480</v>
      </c>
      <c r="D22" s="2359" t="s">
        <v>26</v>
      </c>
      <c r="E22" s="2274">
        <v>5000000</v>
      </c>
      <c r="F22" s="2274">
        <v>0</v>
      </c>
      <c r="G22" s="2274">
        <v>13080000</v>
      </c>
      <c r="H22" s="2274">
        <v>13080000</v>
      </c>
      <c r="I22" s="2274">
        <v>13080000</v>
      </c>
      <c r="J22" s="2360">
        <v>13080000</v>
      </c>
    </row>
    <row r="23" spans="2:10" ht="17.25" customHeight="1" outlineLevel="1">
      <c r="B23" s="2361"/>
      <c r="C23" s="2358" t="s">
        <v>30</v>
      </c>
      <c r="D23" s="2359" t="s">
        <v>29</v>
      </c>
      <c r="E23" s="2274">
        <v>1500000</v>
      </c>
      <c r="F23" s="2274">
        <v>500000</v>
      </c>
      <c r="G23" s="2274">
        <v>500000</v>
      </c>
      <c r="H23" s="2274">
        <v>500000</v>
      </c>
      <c r="I23" s="2274">
        <v>500000</v>
      </c>
      <c r="J23" s="2360">
        <v>500000</v>
      </c>
    </row>
    <row r="24" spans="2:10" s="323" customFormat="1" ht="17.25" hidden="1" customHeight="1" outlineLevel="1">
      <c r="B24" s="2357"/>
      <c r="C24" s="2358" t="s">
        <v>28</v>
      </c>
      <c r="D24" s="2359">
        <v>1381</v>
      </c>
      <c r="E24" s="2274">
        <v>1000000</v>
      </c>
      <c r="F24" s="2274">
        <v>0</v>
      </c>
      <c r="G24" s="2274">
        <v>0</v>
      </c>
      <c r="H24" s="2274">
        <v>0</v>
      </c>
      <c r="I24" s="2274">
        <v>0</v>
      </c>
      <c r="J24" s="2360">
        <v>0</v>
      </c>
    </row>
    <row r="25" spans="2:10" s="323" customFormat="1" ht="17.25" hidden="1" customHeight="1" outlineLevel="1">
      <c r="B25" s="2357"/>
      <c r="C25" s="2358" t="s">
        <v>482</v>
      </c>
      <c r="D25" s="2359">
        <v>1385</v>
      </c>
      <c r="E25" s="2274">
        <v>3100000</v>
      </c>
      <c r="F25" s="2274">
        <v>0</v>
      </c>
      <c r="G25" s="2274">
        <v>0</v>
      </c>
      <c r="H25" s="2274">
        <v>0</v>
      </c>
      <c r="I25" s="2274">
        <v>0</v>
      </c>
      <c r="J25" s="2360">
        <v>0</v>
      </c>
    </row>
    <row r="26" spans="2:10" ht="17.25" customHeight="1" outlineLevel="1">
      <c r="B26" s="2361"/>
      <c r="C26" s="2354" t="s">
        <v>31</v>
      </c>
      <c r="D26" s="2355">
        <v>1511</v>
      </c>
      <c r="E26" s="2213">
        <v>7810000</v>
      </c>
      <c r="F26" s="2213">
        <v>11193800</v>
      </c>
      <c r="G26" s="2213">
        <v>13790901</v>
      </c>
      <c r="H26" s="2213">
        <v>13790901</v>
      </c>
      <c r="I26" s="2213">
        <v>13790901</v>
      </c>
      <c r="J26" s="2356">
        <v>13790901</v>
      </c>
    </row>
    <row r="27" spans="2:10" ht="17.25" hidden="1" customHeight="1" outlineLevel="1">
      <c r="B27" s="2361"/>
      <c r="C27" s="2354"/>
      <c r="D27" s="2368"/>
      <c r="E27" s="2244"/>
      <c r="F27" s="2244"/>
      <c r="G27" s="2244"/>
      <c r="H27" s="2244"/>
      <c r="I27" s="2244"/>
      <c r="J27" s="2369"/>
    </row>
    <row r="28" spans="2:10" ht="17.25" hidden="1" customHeight="1" outlineLevel="1">
      <c r="B28" s="2357"/>
      <c r="C28" s="2370"/>
      <c r="D28" s="2371"/>
      <c r="E28" s="2372"/>
      <c r="F28" s="2372"/>
      <c r="G28" s="2372"/>
      <c r="H28" s="2372"/>
      <c r="I28" s="2372"/>
      <c r="J28" s="2373"/>
    </row>
    <row r="29" spans="2:10" ht="17.25" customHeight="1" outlineLevel="1" thickBot="1">
      <c r="B29" s="2374" t="s">
        <v>223</v>
      </c>
      <c r="C29" s="2375" t="s">
        <v>224</v>
      </c>
      <c r="D29" s="2376"/>
      <c r="E29" s="2377">
        <v>28952967</v>
      </c>
      <c r="F29" s="2377">
        <v>28231954</v>
      </c>
      <c r="G29" s="2377">
        <v>30465922</v>
      </c>
      <c r="H29" s="2377">
        <v>30743135</v>
      </c>
      <c r="I29" s="2377">
        <v>30743135</v>
      </c>
      <c r="J29" s="2378">
        <v>30997235</v>
      </c>
    </row>
    <row r="30" spans="2:10" ht="17.25" customHeight="1" outlineLevel="1" thickTop="1">
      <c r="B30" s="2357"/>
      <c r="C30" s="2379" t="s">
        <v>33</v>
      </c>
      <c r="D30" s="2380" t="s">
        <v>32</v>
      </c>
      <c r="E30" s="2381">
        <v>0</v>
      </c>
      <c r="F30" s="2381">
        <v>0</v>
      </c>
      <c r="G30" s="2381">
        <v>0</v>
      </c>
      <c r="H30" s="2381">
        <v>0</v>
      </c>
      <c r="I30" s="2381">
        <v>0</v>
      </c>
      <c r="J30" s="2382">
        <v>0</v>
      </c>
    </row>
    <row r="31" spans="2:10" ht="17.25" customHeight="1" outlineLevel="1">
      <c r="B31" s="2357"/>
      <c r="C31" s="2383" t="s">
        <v>1523</v>
      </c>
      <c r="D31" s="2384">
        <v>2111</v>
      </c>
      <c r="E31" s="2385">
        <v>21950</v>
      </c>
      <c r="F31" s="2385">
        <v>21950</v>
      </c>
      <c r="G31" s="2385">
        <v>21950</v>
      </c>
      <c r="H31" s="2385">
        <v>21950</v>
      </c>
      <c r="I31" s="2385">
        <v>21950</v>
      </c>
      <c r="J31" s="2386">
        <v>21950</v>
      </c>
    </row>
    <row r="32" spans="2:10" ht="17.25" hidden="1" customHeight="1" outlineLevel="1">
      <c r="B32" s="2357"/>
      <c r="C32" s="2383" t="s">
        <v>1524</v>
      </c>
      <c r="D32" s="2384">
        <v>2322</v>
      </c>
      <c r="E32" s="2385">
        <v>0</v>
      </c>
      <c r="F32" s="2385">
        <v>0</v>
      </c>
      <c r="G32" s="2385">
        <v>0</v>
      </c>
      <c r="H32" s="2385">
        <v>0</v>
      </c>
      <c r="I32" s="2385">
        <v>0</v>
      </c>
      <c r="J32" s="2386">
        <v>0</v>
      </c>
    </row>
    <row r="33" spans="2:10" ht="17.25" customHeight="1" outlineLevel="1">
      <c r="B33" s="2349"/>
      <c r="C33" s="2354" t="s">
        <v>41</v>
      </c>
      <c r="D33" s="2355" t="s">
        <v>40</v>
      </c>
      <c r="E33" s="2213">
        <v>4806120</v>
      </c>
      <c r="F33" s="2213">
        <v>4806120</v>
      </c>
      <c r="G33" s="2213">
        <v>4806120</v>
      </c>
      <c r="H33" s="2213">
        <v>4806120</v>
      </c>
      <c r="I33" s="2213">
        <v>4806120</v>
      </c>
      <c r="J33" s="2356">
        <v>4806120</v>
      </c>
    </row>
    <row r="34" spans="2:10" ht="17.25" customHeight="1" outlineLevel="1">
      <c r="B34" s="2349"/>
      <c r="C34" s="2354" t="s">
        <v>43</v>
      </c>
      <c r="D34" s="2355" t="s">
        <v>40</v>
      </c>
      <c r="E34" s="2213">
        <v>8646660</v>
      </c>
      <c r="F34" s="2213">
        <v>8646660</v>
      </c>
      <c r="G34" s="2213">
        <v>8646660</v>
      </c>
      <c r="H34" s="2213">
        <v>8646660</v>
      </c>
      <c r="I34" s="2213">
        <v>8646660</v>
      </c>
      <c r="J34" s="2356">
        <v>8646660</v>
      </c>
    </row>
    <row r="35" spans="2:10" ht="17.25" customHeight="1" outlineLevel="1">
      <c r="B35" s="2357"/>
      <c r="C35" s="2383" t="s">
        <v>45</v>
      </c>
      <c r="D35" s="2384" t="s">
        <v>44</v>
      </c>
      <c r="E35" s="2274">
        <v>50000</v>
      </c>
      <c r="F35" s="2274">
        <v>50000</v>
      </c>
      <c r="G35" s="2274">
        <v>50000</v>
      </c>
      <c r="H35" s="2274">
        <v>50000</v>
      </c>
      <c r="I35" s="2274">
        <v>50000</v>
      </c>
      <c r="J35" s="2386">
        <v>50000</v>
      </c>
    </row>
    <row r="36" spans="2:10" ht="17.25" customHeight="1" outlineLevel="1">
      <c r="B36" s="2357"/>
      <c r="C36" s="2383" t="s">
        <v>46</v>
      </c>
      <c r="D36" s="2384" t="s">
        <v>40</v>
      </c>
      <c r="E36" s="2385">
        <v>249000</v>
      </c>
      <c r="F36" s="2385">
        <v>249000</v>
      </c>
      <c r="G36" s="2385">
        <v>249000</v>
      </c>
      <c r="H36" s="2385">
        <v>249000</v>
      </c>
      <c r="I36" s="2385">
        <v>249000</v>
      </c>
      <c r="J36" s="2386">
        <v>249000</v>
      </c>
    </row>
    <row r="37" spans="2:10" ht="17.25" customHeight="1" outlineLevel="1">
      <c r="B37" s="2357"/>
      <c r="C37" s="2383" t="s">
        <v>47</v>
      </c>
      <c r="D37" s="2384">
        <v>2111</v>
      </c>
      <c r="E37" s="2385">
        <v>50000</v>
      </c>
      <c r="F37" s="2385">
        <v>20000</v>
      </c>
      <c r="G37" s="2385">
        <v>20000</v>
      </c>
      <c r="H37" s="2385">
        <v>20000</v>
      </c>
      <c r="I37" s="2385">
        <v>20000</v>
      </c>
      <c r="J37" s="2386">
        <v>20000</v>
      </c>
    </row>
    <row r="38" spans="2:10" ht="17.25" hidden="1" customHeight="1" outlineLevel="1">
      <c r="B38" s="2357"/>
      <c r="C38" s="2383" t="s">
        <v>1525</v>
      </c>
      <c r="D38" s="2384">
        <v>2321</v>
      </c>
      <c r="E38" s="2385">
        <v>0</v>
      </c>
      <c r="F38" s="2385">
        <v>0</v>
      </c>
      <c r="G38" s="2385">
        <v>0</v>
      </c>
      <c r="H38" s="2385">
        <v>0</v>
      </c>
      <c r="I38" s="2385">
        <v>0</v>
      </c>
      <c r="J38" s="2386">
        <v>0</v>
      </c>
    </row>
    <row r="39" spans="2:10" ht="17.25" customHeight="1" outlineLevel="1">
      <c r="B39" s="2357"/>
      <c r="C39" s="2383" t="s">
        <v>48</v>
      </c>
      <c r="D39" s="2384">
        <v>2111</v>
      </c>
      <c r="E39" s="2385">
        <v>250000</v>
      </c>
      <c r="F39" s="2385">
        <v>250000</v>
      </c>
      <c r="G39" s="2385">
        <v>250000</v>
      </c>
      <c r="H39" s="2385">
        <v>250000</v>
      </c>
      <c r="I39" s="2385">
        <v>250000</v>
      </c>
      <c r="J39" s="2386">
        <v>250000</v>
      </c>
    </row>
    <row r="40" spans="2:10" ht="17.25" customHeight="1" outlineLevel="1">
      <c r="B40" s="2357"/>
      <c r="C40" s="2383" t="s">
        <v>49</v>
      </c>
      <c r="D40" s="2384" t="s">
        <v>44</v>
      </c>
      <c r="E40" s="2385">
        <v>70000</v>
      </c>
      <c r="F40" s="2385">
        <v>70000</v>
      </c>
      <c r="G40" s="2385">
        <v>70000</v>
      </c>
      <c r="H40" s="2385">
        <v>70000</v>
      </c>
      <c r="I40" s="2385">
        <v>70000</v>
      </c>
      <c r="J40" s="2386">
        <v>70000</v>
      </c>
    </row>
    <row r="41" spans="2:10" s="433" customFormat="1" ht="17.25" customHeight="1" outlineLevel="1">
      <c r="B41" s="2357"/>
      <c r="C41" s="2383" t="s">
        <v>50</v>
      </c>
      <c r="D41" s="2384">
        <v>2132</v>
      </c>
      <c r="E41" s="2385">
        <v>660010</v>
      </c>
      <c r="F41" s="2385">
        <v>330005</v>
      </c>
      <c r="G41" s="2385">
        <v>330005</v>
      </c>
      <c r="H41" s="2385">
        <v>330005</v>
      </c>
      <c r="I41" s="2385">
        <v>330005</v>
      </c>
      <c r="J41" s="2386">
        <v>330005</v>
      </c>
    </row>
    <row r="42" spans="2:10" ht="17.25" customHeight="1" outlineLevel="1">
      <c r="B42" s="2357"/>
      <c r="C42" s="2383" t="s">
        <v>2827</v>
      </c>
      <c r="D42" s="2384">
        <v>3121</v>
      </c>
      <c r="E42" s="2385"/>
      <c r="F42" s="2385"/>
      <c r="G42" s="2385"/>
      <c r="H42" s="2385"/>
      <c r="I42" s="2385">
        <v>0</v>
      </c>
      <c r="J42" s="2386">
        <v>254100</v>
      </c>
    </row>
    <row r="43" spans="2:10" ht="17.25" customHeight="1" outlineLevel="1">
      <c r="B43" s="2357"/>
      <c r="C43" s="2383" t="s">
        <v>51</v>
      </c>
      <c r="D43" s="2384">
        <v>2132</v>
      </c>
      <c r="E43" s="2385">
        <v>828800</v>
      </c>
      <c r="F43" s="2385">
        <v>828800</v>
      </c>
      <c r="G43" s="2385">
        <v>983600</v>
      </c>
      <c r="H43" s="2385">
        <v>983600</v>
      </c>
      <c r="I43" s="2385">
        <v>983600</v>
      </c>
      <c r="J43" s="2386">
        <v>983600</v>
      </c>
    </row>
    <row r="44" spans="2:10" ht="17.25" customHeight="1" outlineLevel="1">
      <c r="B44" s="2357"/>
      <c r="C44" s="2383" t="s">
        <v>52</v>
      </c>
      <c r="D44" s="2384">
        <v>2111</v>
      </c>
      <c r="E44" s="2385">
        <v>2950832</v>
      </c>
      <c r="F44" s="2385">
        <v>2950832</v>
      </c>
      <c r="G44" s="2385">
        <v>4230000</v>
      </c>
      <c r="H44" s="2385">
        <v>4230000</v>
      </c>
      <c r="I44" s="2385">
        <v>4230000</v>
      </c>
      <c r="J44" s="2386">
        <v>4230000</v>
      </c>
    </row>
    <row r="45" spans="2:10" ht="17.25" hidden="1" customHeight="1" outlineLevel="1">
      <c r="B45" s="2357"/>
      <c r="C45" s="2383" t="s">
        <v>53</v>
      </c>
      <c r="D45" s="2384">
        <v>2132</v>
      </c>
      <c r="E45" s="2385">
        <v>4800000</v>
      </c>
      <c r="F45" s="2385">
        <v>4800000</v>
      </c>
      <c r="G45" s="2385">
        <v>5600000</v>
      </c>
      <c r="H45" s="2385">
        <v>5801000</v>
      </c>
      <c r="I45" s="2385">
        <v>5801000</v>
      </c>
      <c r="J45" s="2386">
        <v>5801000</v>
      </c>
    </row>
    <row r="46" spans="2:10" ht="17.25" hidden="1" customHeight="1" outlineLevel="1">
      <c r="B46" s="2357"/>
      <c r="C46" s="2383" t="s">
        <v>1526</v>
      </c>
      <c r="D46" s="2384">
        <v>2322</v>
      </c>
      <c r="E46" s="2385">
        <v>0</v>
      </c>
      <c r="F46" s="2385">
        <v>0</v>
      </c>
      <c r="G46" s="2385">
        <v>0</v>
      </c>
      <c r="H46" s="2385">
        <v>0</v>
      </c>
      <c r="I46" s="2385">
        <v>0</v>
      </c>
      <c r="J46" s="2386">
        <v>0</v>
      </c>
    </row>
    <row r="47" spans="2:10" ht="17.25" customHeight="1" outlineLevel="1">
      <c r="B47" s="2357"/>
      <c r="C47" s="2383" t="s">
        <v>1223</v>
      </c>
      <c r="D47" s="2384">
        <v>3122</v>
      </c>
      <c r="E47" s="2385">
        <v>0</v>
      </c>
      <c r="F47" s="2385">
        <v>0</v>
      </c>
      <c r="G47" s="2385">
        <v>0</v>
      </c>
      <c r="H47" s="2385">
        <v>0</v>
      </c>
      <c r="I47" s="2385">
        <v>0</v>
      </c>
      <c r="J47" s="2386">
        <v>0</v>
      </c>
    </row>
    <row r="48" spans="2:10" ht="17.25" customHeight="1" outlineLevel="1">
      <c r="B48" s="2357"/>
      <c r="C48" s="2383" t="s">
        <v>2560</v>
      </c>
      <c r="D48" s="2384">
        <v>2132</v>
      </c>
      <c r="E48" s="2385"/>
      <c r="F48" s="2385">
        <v>231792</v>
      </c>
      <c r="G48" s="2385">
        <v>231792</v>
      </c>
      <c r="H48" s="2385">
        <v>231792</v>
      </c>
      <c r="I48" s="2385">
        <v>231792</v>
      </c>
      <c r="J48" s="2386">
        <v>231792</v>
      </c>
    </row>
    <row r="49" spans="2:10" ht="14.65" outlineLevel="1">
      <c r="B49" s="2357"/>
      <c r="C49" s="2383" t="s">
        <v>54</v>
      </c>
      <c r="D49" s="2384" t="s">
        <v>44</v>
      </c>
      <c r="E49" s="2385">
        <v>81000</v>
      </c>
      <c r="F49" s="2385">
        <v>81000</v>
      </c>
      <c r="G49" s="2385">
        <v>81000</v>
      </c>
      <c r="H49" s="2385">
        <v>81000</v>
      </c>
      <c r="I49" s="2385">
        <v>81000</v>
      </c>
      <c r="J49" s="2386">
        <v>81000</v>
      </c>
    </row>
    <row r="50" spans="2:10" s="432" customFormat="1" ht="14.65">
      <c r="B50" s="2357"/>
      <c r="C50" s="2383" t="s">
        <v>503</v>
      </c>
      <c r="D50" s="2384">
        <v>2132</v>
      </c>
      <c r="E50" s="2385">
        <v>179395</v>
      </c>
      <c r="F50" s="2385">
        <v>179395</v>
      </c>
      <c r="G50" s="2385">
        <v>179395</v>
      </c>
      <c r="H50" s="2385">
        <v>179395</v>
      </c>
      <c r="I50" s="2385">
        <v>179395</v>
      </c>
      <c r="J50" s="2386">
        <v>179395</v>
      </c>
    </row>
    <row r="51" spans="2:10" ht="16.5" customHeight="1" outlineLevel="1">
      <c r="B51" s="2357"/>
      <c r="C51" s="2383" t="s">
        <v>740</v>
      </c>
      <c r="D51" s="2384">
        <v>2111</v>
      </c>
      <c r="E51" s="2385">
        <v>78000</v>
      </c>
      <c r="F51" s="2385">
        <v>78000</v>
      </c>
      <c r="G51" s="2385">
        <v>78000</v>
      </c>
      <c r="H51" s="2385">
        <v>78000</v>
      </c>
      <c r="I51" s="2385">
        <v>78000</v>
      </c>
      <c r="J51" s="2386">
        <v>78000</v>
      </c>
    </row>
    <row r="52" spans="2:10" s="432" customFormat="1" ht="18.75" customHeight="1">
      <c r="B52" s="2357"/>
      <c r="C52" s="2383" t="s">
        <v>55</v>
      </c>
      <c r="D52" s="2384">
        <v>2132</v>
      </c>
      <c r="E52" s="2385">
        <v>400000</v>
      </c>
      <c r="F52" s="2385">
        <v>400000</v>
      </c>
      <c r="G52" s="2385">
        <v>400000</v>
      </c>
      <c r="H52" s="2385">
        <v>400000</v>
      </c>
      <c r="I52" s="2385">
        <v>400000</v>
      </c>
      <c r="J52" s="2386">
        <v>400000</v>
      </c>
    </row>
    <row r="53" spans="2:10" ht="19.5" customHeight="1" outlineLevel="1">
      <c r="B53" s="2357"/>
      <c r="C53" s="2383" t="s">
        <v>488</v>
      </c>
      <c r="D53" s="2384">
        <v>2132</v>
      </c>
      <c r="E53" s="2385">
        <v>1063000</v>
      </c>
      <c r="F53" s="2385">
        <v>1063000</v>
      </c>
      <c r="G53" s="2385">
        <v>1063000</v>
      </c>
      <c r="H53" s="2385">
        <v>1063000</v>
      </c>
      <c r="I53" s="2385">
        <v>1063000</v>
      </c>
      <c r="J53" s="2386">
        <v>1063000</v>
      </c>
    </row>
    <row r="54" spans="2:10" ht="19.5" hidden="1" customHeight="1" outlineLevel="1">
      <c r="B54" s="2361"/>
      <c r="C54" s="2358" t="s">
        <v>56</v>
      </c>
      <c r="D54" s="2359">
        <v>2111</v>
      </c>
      <c r="E54" s="2385">
        <v>250000</v>
      </c>
      <c r="F54" s="2385">
        <v>250000</v>
      </c>
      <c r="G54" s="2385">
        <v>250000</v>
      </c>
      <c r="H54" s="2385">
        <v>250000</v>
      </c>
      <c r="I54" s="2385">
        <v>250000</v>
      </c>
      <c r="J54" s="2386">
        <v>250000</v>
      </c>
    </row>
    <row r="55" spans="2:10" ht="19.5" hidden="1" customHeight="1" outlineLevel="1">
      <c r="B55" s="2361"/>
      <c r="C55" s="2358" t="s">
        <v>1527</v>
      </c>
      <c r="D55" s="2359">
        <v>2321</v>
      </c>
      <c r="E55" s="2385">
        <v>300000</v>
      </c>
      <c r="F55" s="2385">
        <v>0</v>
      </c>
      <c r="G55" s="2385">
        <v>0</v>
      </c>
      <c r="H55" s="2385">
        <v>0</v>
      </c>
      <c r="I55" s="2385">
        <v>0</v>
      </c>
      <c r="J55" s="2386">
        <v>0</v>
      </c>
    </row>
    <row r="56" spans="2:10" ht="19.5" customHeight="1" outlineLevel="1">
      <c r="B56" s="2361"/>
      <c r="C56" s="2358" t="s">
        <v>1526</v>
      </c>
      <c r="D56" s="2359">
        <v>2322</v>
      </c>
      <c r="E56" s="2385">
        <v>0</v>
      </c>
      <c r="F56" s="2385">
        <v>0</v>
      </c>
      <c r="G56" s="2385">
        <v>0</v>
      </c>
      <c r="H56" s="2385">
        <v>0</v>
      </c>
      <c r="I56" s="2385">
        <v>0</v>
      </c>
      <c r="J56" s="2386">
        <v>0</v>
      </c>
    </row>
    <row r="57" spans="2:10" ht="19.5" customHeight="1" outlineLevel="1">
      <c r="B57" s="2357"/>
      <c r="C57" s="2383" t="s">
        <v>958</v>
      </c>
      <c r="D57" s="2384" t="s">
        <v>44</v>
      </c>
      <c r="E57" s="2385">
        <v>1950000</v>
      </c>
      <c r="F57" s="2385">
        <v>1950000</v>
      </c>
      <c r="G57" s="2385">
        <v>1950000</v>
      </c>
      <c r="H57" s="2385">
        <v>1950000</v>
      </c>
      <c r="I57" s="2385">
        <v>1950000</v>
      </c>
      <c r="J57" s="2386">
        <v>1950000</v>
      </c>
    </row>
    <row r="58" spans="2:10" ht="19.5" customHeight="1" outlineLevel="1">
      <c r="B58" s="2357"/>
      <c r="C58" s="2383" t="s">
        <v>477</v>
      </c>
      <c r="D58" s="2384" t="s">
        <v>44</v>
      </c>
      <c r="E58" s="2385">
        <v>600000</v>
      </c>
      <c r="F58" s="2385">
        <v>600000</v>
      </c>
      <c r="G58" s="2385">
        <v>600000</v>
      </c>
      <c r="H58" s="2385">
        <v>600000</v>
      </c>
      <c r="I58" s="2385">
        <v>600000</v>
      </c>
      <c r="J58" s="2386">
        <v>600000</v>
      </c>
    </row>
    <row r="59" spans="2:10" ht="19.5" hidden="1" customHeight="1" outlineLevel="1">
      <c r="B59" s="2357"/>
      <c r="C59" s="2383" t="s">
        <v>741</v>
      </c>
      <c r="D59" s="2384">
        <v>2111</v>
      </c>
      <c r="E59" s="2385">
        <v>20000</v>
      </c>
      <c r="F59" s="2385">
        <v>20000</v>
      </c>
      <c r="G59" s="2385">
        <v>20000</v>
      </c>
      <c r="H59" s="2385">
        <v>20000</v>
      </c>
      <c r="I59" s="2385">
        <v>20000</v>
      </c>
      <c r="J59" s="2386">
        <v>20000</v>
      </c>
    </row>
    <row r="60" spans="2:10" ht="19.5" hidden="1" customHeight="1" outlineLevel="1">
      <c r="B60" s="2357"/>
      <c r="C60" s="2383" t="s">
        <v>2060</v>
      </c>
      <c r="D60" s="2384">
        <v>2324</v>
      </c>
      <c r="E60" s="2385">
        <v>0</v>
      </c>
      <c r="F60" s="2385">
        <v>0</v>
      </c>
      <c r="G60" s="2385">
        <v>0</v>
      </c>
      <c r="H60" s="2385">
        <v>0</v>
      </c>
      <c r="I60" s="2385">
        <v>0</v>
      </c>
      <c r="J60" s="2386">
        <v>0</v>
      </c>
    </row>
    <row r="61" spans="2:10" s="432" customFormat="1" ht="14.65" hidden="1">
      <c r="B61" s="2357"/>
      <c r="C61" s="2383" t="s">
        <v>1498</v>
      </c>
      <c r="D61" s="2384">
        <v>2321</v>
      </c>
      <c r="E61" s="2385">
        <v>0</v>
      </c>
      <c r="F61" s="2385">
        <v>0</v>
      </c>
      <c r="G61" s="2385">
        <v>0</v>
      </c>
      <c r="H61" s="2385">
        <v>0</v>
      </c>
      <c r="I61" s="2385">
        <v>0</v>
      </c>
      <c r="J61" s="2386">
        <v>0</v>
      </c>
    </row>
    <row r="62" spans="2:10" ht="17.25" customHeight="1">
      <c r="B62" s="2357"/>
      <c r="C62" s="2383" t="s">
        <v>2102</v>
      </c>
      <c r="D62" s="2384">
        <v>2324</v>
      </c>
      <c r="E62" s="2385">
        <v>292800</v>
      </c>
      <c r="F62" s="2385">
        <v>0</v>
      </c>
      <c r="G62" s="2385">
        <v>0</v>
      </c>
      <c r="H62" s="2385">
        <v>0</v>
      </c>
      <c r="I62" s="2385">
        <v>0</v>
      </c>
      <c r="J62" s="2386">
        <v>0</v>
      </c>
    </row>
    <row r="63" spans="2:10" ht="17.25" customHeight="1">
      <c r="B63" s="2357"/>
      <c r="C63" s="2383" t="s">
        <v>742</v>
      </c>
      <c r="D63" s="2384">
        <v>2132</v>
      </c>
      <c r="E63" s="2385">
        <v>24000</v>
      </c>
      <c r="F63" s="2385">
        <v>24000</v>
      </c>
      <c r="G63" s="2385">
        <v>24000</v>
      </c>
      <c r="H63" s="2385">
        <v>24000</v>
      </c>
      <c r="I63" s="2385">
        <v>24000</v>
      </c>
      <c r="J63" s="2386">
        <v>24000</v>
      </c>
    </row>
    <row r="64" spans="2:10" ht="14.65" hidden="1">
      <c r="B64" s="2357"/>
      <c r="C64" s="2383" t="s">
        <v>57</v>
      </c>
      <c r="D64" s="2384">
        <v>2111</v>
      </c>
      <c r="E64" s="2385">
        <v>17000</v>
      </c>
      <c r="F64" s="2385">
        <v>17000</v>
      </c>
      <c r="G64" s="2385">
        <v>17000</v>
      </c>
      <c r="H64" s="2385">
        <v>17000</v>
      </c>
      <c r="I64" s="2385">
        <v>17000</v>
      </c>
      <c r="J64" s="2386">
        <v>17000</v>
      </c>
    </row>
    <row r="65" spans="2:10" ht="14.65" hidden="1">
      <c r="B65" s="2357"/>
      <c r="C65" s="2383" t="s">
        <v>1224</v>
      </c>
      <c r="D65" s="2384">
        <v>2111</v>
      </c>
      <c r="E65" s="2385">
        <v>0</v>
      </c>
      <c r="F65" s="2385">
        <v>0</v>
      </c>
      <c r="G65" s="2385">
        <v>0</v>
      </c>
      <c r="H65" s="2385">
        <v>0</v>
      </c>
      <c r="I65" s="2385">
        <v>0</v>
      </c>
      <c r="J65" s="2386">
        <v>0</v>
      </c>
    </row>
    <row r="66" spans="2:10" s="432" customFormat="1" ht="14.65" hidden="1">
      <c r="B66" s="2357"/>
      <c r="C66" s="2383" t="s">
        <v>1924</v>
      </c>
      <c r="D66" s="2384">
        <v>2324</v>
      </c>
      <c r="E66" s="2385"/>
      <c r="F66" s="2385"/>
      <c r="G66" s="2385"/>
      <c r="H66" s="2385"/>
      <c r="I66" s="2385"/>
      <c r="J66" s="2386"/>
    </row>
    <row r="67" spans="2:10" ht="14.65" hidden="1">
      <c r="B67" s="2357"/>
      <c r="C67" s="2383" t="s">
        <v>553</v>
      </c>
      <c r="D67" s="2384">
        <v>2322</v>
      </c>
      <c r="E67" s="2385">
        <v>0</v>
      </c>
      <c r="F67" s="2385">
        <v>0</v>
      </c>
      <c r="G67" s="2385">
        <v>0</v>
      </c>
      <c r="H67" s="2385">
        <v>0</v>
      </c>
      <c r="I67" s="2385">
        <v>0</v>
      </c>
      <c r="J67" s="2386">
        <v>0</v>
      </c>
    </row>
    <row r="68" spans="2:10" ht="14.65" hidden="1">
      <c r="B68" s="2357"/>
      <c r="C68" s="2383" t="s">
        <v>1225</v>
      </c>
      <c r="D68" s="2384">
        <v>2321</v>
      </c>
      <c r="E68" s="2385">
        <v>0</v>
      </c>
      <c r="F68" s="2385">
        <v>0</v>
      </c>
      <c r="G68" s="2385">
        <v>0</v>
      </c>
      <c r="H68" s="2385">
        <v>0</v>
      </c>
      <c r="I68" s="2385">
        <v>0</v>
      </c>
      <c r="J68" s="2386">
        <v>0</v>
      </c>
    </row>
    <row r="69" spans="2:10" ht="14.65" hidden="1">
      <c r="B69" s="2357"/>
      <c r="C69" s="2383" t="s">
        <v>553</v>
      </c>
      <c r="D69" s="2384">
        <v>2322</v>
      </c>
      <c r="E69" s="2385">
        <v>0</v>
      </c>
      <c r="F69" s="2385">
        <v>0</v>
      </c>
      <c r="G69" s="2385">
        <v>0</v>
      </c>
      <c r="H69" s="2385">
        <v>0</v>
      </c>
      <c r="I69" s="2385">
        <v>0</v>
      </c>
      <c r="J69" s="2386">
        <v>0</v>
      </c>
    </row>
    <row r="70" spans="2:10" ht="14.65" hidden="1">
      <c r="B70" s="2357"/>
      <c r="C70" s="2383" t="s">
        <v>553</v>
      </c>
      <c r="D70" s="2384">
        <v>2322</v>
      </c>
      <c r="E70" s="2385">
        <v>0</v>
      </c>
      <c r="F70" s="2385">
        <v>0</v>
      </c>
      <c r="G70" s="2385">
        <v>0</v>
      </c>
      <c r="H70" s="2385">
        <v>0</v>
      </c>
      <c r="I70" s="2385">
        <v>0</v>
      </c>
      <c r="J70" s="2386">
        <v>0</v>
      </c>
    </row>
    <row r="71" spans="2:10" ht="14.65" hidden="1">
      <c r="B71" s="2357"/>
      <c r="C71" s="2383" t="s">
        <v>1226</v>
      </c>
      <c r="D71" s="2384">
        <v>2212</v>
      </c>
      <c r="E71" s="2385">
        <v>0</v>
      </c>
      <c r="F71" s="2385">
        <v>0</v>
      </c>
      <c r="G71" s="2385">
        <v>0</v>
      </c>
      <c r="H71" s="2385">
        <v>0</v>
      </c>
      <c r="I71" s="2385">
        <v>0</v>
      </c>
      <c r="J71" s="2386">
        <v>0</v>
      </c>
    </row>
    <row r="72" spans="2:10" ht="14.65" hidden="1">
      <c r="B72" s="2357"/>
      <c r="C72" s="2383" t="s">
        <v>225</v>
      </c>
      <c r="D72" s="2384">
        <v>2322</v>
      </c>
      <c r="E72" s="2385">
        <v>0</v>
      </c>
      <c r="F72" s="2385">
        <v>0</v>
      </c>
      <c r="G72" s="2385">
        <v>0</v>
      </c>
      <c r="H72" s="2385">
        <v>0</v>
      </c>
      <c r="I72" s="2385">
        <v>0</v>
      </c>
      <c r="J72" s="2386">
        <v>0</v>
      </c>
    </row>
    <row r="73" spans="2:10" ht="14.65">
      <c r="B73" s="2357"/>
      <c r="C73" s="2383" t="s">
        <v>1227</v>
      </c>
      <c r="D73" s="2384">
        <v>2212</v>
      </c>
      <c r="E73" s="2385">
        <v>0</v>
      </c>
      <c r="F73" s="2385">
        <v>0</v>
      </c>
      <c r="G73" s="2385">
        <v>0</v>
      </c>
      <c r="H73" s="2385">
        <v>0</v>
      </c>
      <c r="I73" s="2385">
        <v>0</v>
      </c>
      <c r="J73" s="2386">
        <v>0</v>
      </c>
    </row>
    <row r="74" spans="2:10" ht="14.65">
      <c r="B74" s="2357"/>
      <c r="C74" s="2383" t="s">
        <v>743</v>
      </c>
      <c r="D74" s="2384">
        <v>2141</v>
      </c>
      <c r="E74" s="2385">
        <v>10000</v>
      </c>
      <c r="F74" s="2385">
        <v>10000</v>
      </c>
      <c r="G74" s="2385">
        <v>10000</v>
      </c>
      <c r="H74" s="2385">
        <v>10000</v>
      </c>
      <c r="I74" s="2385">
        <v>10000</v>
      </c>
      <c r="J74" s="2386">
        <v>10000</v>
      </c>
    </row>
    <row r="75" spans="2:10" ht="14.65">
      <c r="B75" s="2357"/>
      <c r="C75" s="2383" t="s">
        <v>483</v>
      </c>
      <c r="D75" s="2384">
        <v>2132</v>
      </c>
      <c r="E75" s="2385">
        <v>4400</v>
      </c>
      <c r="F75" s="2385">
        <v>4400</v>
      </c>
      <c r="G75" s="2385">
        <v>4400</v>
      </c>
      <c r="H75" s="2385">
        <v>4400</v>
      </c>
      <c r="I75" s="2385">
        <v>4400</v>
      </c>
      <c r="J75" s="2386">
        <v>4400</v>
      </c>
    </row>
    <row r="76" spans="2:10" ht="14.65">
      <c r="B76" s="2357"/>
      <c r="C76" s="2383" t="s">
        <v>744</v>
      </c>
      <c r="D76" s="2384">
        <v>2119</v>
      </c>
      <c r="E76" s="2385">
        <v>300000</v>
      </c>
      <c r="F76" s="2385">
        <v>300000</v>
      </c>
      <c r="G76" s="2385">
        <v>300000</v>
      </c>
      <c r="H76" s="2385">
        <v>376213</v>
      </c>
      <c r="I76" s="2385">
        <v>376213</v>
      </c>
      <c r="J76" s="2386">
        <v>376213</v>
      </c>
    </row>
    <row r="77" spans="2:10" ht="14.65" hidden="1">
      <c r="B77" s="2357"/>
      <c r="C77" s="2387" t="s">
        <v>61</v>
      </c>
      <c r="D77" s="2371" t="s">
        <v>44</v>
      </c>
      <c r="E77" s="2385">
        <v>0</v>
      </c>
      <c r="F77" s="2385">
        <v>0</v>
      </c>
      <c r="G77" s="2385">
        <v>0</v>
      </c>
      <c r="H77" s="2385">
        <v>0</v>
      </c>
      <c r="I77" s="2385">
        <v>0</v>
      </c>
      <c r="J77" s="2386">
        <v>0</v>
      </c>
    </row>
    <row r="78" spans="2:10" ht="14.65">
      <c r="B78" s="2357"/>
      <c r="C78" s="2370"/>
      <c r="D78" s="2371"/>
      <c r="E78" s="2372"/>
      <c r="F78" s="2372"/>
      <c r="G78" s="2372"/>
      <c r="H78" s="2372"/>
      <c r="I78" s="2372"/>
      <c r="J78" s="2373"/>
    </row>
    <row r="79" spans="2:10" ht="15" thickBot="1">
      <c r="B79" s="2374" t="s">
        <v>226</v>
      </c>
      <c r="C79" s="2375" t="s">
        <v>227</v>
      </c>
      <c r="D79" s="2376"/>
      <c r="E79" s="2377">
        <v>65000</v>
      </c>
      <c r="F79" s="2377">
        <v>65000</v>
      </c>
      <c r="G79" s="2377">
        <v>65000</v>
      </c>
      <c r="H79" s="2377">
        <v>123478</v>
      </c>
      <c r="I79" s="2377">
        <v>123478</v>
      </c>
      <c r="J79" s="2378">
        <v>13519038</v>
      </c>
    </row>
    <row r="80" spans="2:10" ht="15" hidden="1" thickTop="1">
      <c r="B80" s="2357"/>
      <c r="C80" s="2379" t="s">
        <v>228</v>
      </c>
      <c r="D80" s="2380">
        <v>3111</v>
      </c>
      <c r="E80" s="2381">
        <v>0</v>
      </c>
      <c r="F80" s="2381">
        <v>0</v>
      </c>
      <c r="G80" s="2381">
        <v>0</v>
      </c>
      <c r="H80" s="2381">
        <v>0</v>
      </c>
      <c r="I80" s="2381">
        <v>0</v>
      </c>
      <c r="J80" s="2382">
        <v>0</v>
      </c>
    </row>
    <row r="81" spans="2:10" ht="15" thickTop="1">
      <c r="B81" s="2388"/>
      <c r="C81" s="2389" t="s">
        <v>2561</v>
      </c>
      <c r="D81" s="2390">
        <v>3111</v>
      </c>
      <c r="E81" s="2391"/>
      <c r="F81" s="2391"/>
      <c r="G81" s="2391"/>
      <c r="H81" s="2391"/>
      <c r="I81" s="2391"/>
      <c r="J81" s="2392">
        <v>13395560</v>
      </c>
    </row>
    <row r="82" spans="2:10" ht="14.65">
      <c r="B82" s="2357"/>
      <c r="C82" s="2383" t="s">
        <v>59</v>
      </c>
      <c r="D82" s="2384" t="s">
        <v>58</v>
      </c>
      <c r="E82" s="2385">
        <v>65000</v>
      </c>
      <c r="F82" s="2385">
        <v>65000</v>
      </c>
      <c r="G82" s="2385">
        <v>65000</v>
      </c>
      <c r="H82" s="2385">
        <v>123478</v>
      </c>
      <c r="I82" s="2385">
        <v>123478</v>
      </c>
      <c r="J82" s="2386">
        <v>123478</v>
      </c>
    </row>
    <row r="83" spans="2:10" ht="14.65" hidden="1">
      <c r="B83" s="2357"/>
      <c r="C83" s="2383" t="s">
        <v>229</v>
      </c>
      <c r="D83" s="2384">
        <v>2132</v>
      </c>
      <c r="E83" s="2385"/>
      <c r="F83" s="2385"/>
      <c r="G83" s="2385"/>
      <c r="H83" s="2385"/>
      <c r="I83" s="2385"/>
      <c r="J83" s="2386"/>
    </row>
    <row r="84" spans="2:10" ht="14.65">
      <c r="B84" s="2357"/>
      <c r="C84" s="2383"/>
      <c r="D84" s="2371"/>
      <c r="E84" s="2372"/>
      <c r="F84" s="2372"/>
      <c r="G84" s="2372"/>
      <c r="H84" s="2372"/>
      <c r="I84" s="2372"/>
      <c r="J84" s="2373"/>
    </row>
    <row r="85" spans="2:10" ht="15" hidden="1" thickBot="1">
      <c r="B85" s="2374" t="s">
        <v>230</v>
      </c>
      <c r="C85" s="2375" t="s">
        <v>231</v>
      </c>
      <c r="D85" s="2376"/>
      <c r="E85" s="2377">
        <v>29768876</v>
      </c>
      <c r="F85" s="2377">
        <v>78786021</v>
      </c>
      <c r="G85" s="2377">
        <v>78600821</v>
      </c>
      <c r="H85" s="2377">
        <v>78600821</v>
      </c>
      <c r="I85" s="2377">
        <v>78600821</v>
      </c>
      <c r="J85" s="2378">
        <v>67601821</v>
      </c>
    </row>
    <row r="86" spans="2:10" ht="14.65" hidden="1">
      <c r="B86" s="2357"/>
      <c r="C86" s="2383" t="s">
        <v>2085</v>
      </c>
      <c r="D86" s="2384">
        <v>4111</v>
      </c>
      <c r="E86" s="2385">
        <v>130800</v>
      </c>
      <c r="F86" s="2385">
        <v>0</v>
      </c>
      <c r="G86" s="2385">
        <v>0</v>
      </c>
      <c r="H86" s="2385">
        <v>0</v>
      </c>
      <c r="I86" s="2385">
        <v>0</v>
      </c>
      <c r="J86" s="2386">
        <v>0</v>
      </c>
    </row>
    <row r="87" spans="2:10" ht="14.65" hidden="1">
      <c r="B87" s="2357"/>
      <c r="C87" s="2383" t="s">
        <v>674</v>
      </c>
      <c r="D87" s="2384">
        <v>4116</v>
      </c>
      <c r="E87" s="2385">
        <v>60000</v>
      </c>
      <c r="F87" s="2385">
        <v>0</v>
      </c>
      <c r="G87" s="2385">
        <v>0</v>
      </c>
      <c r="H87" s="2385">
        <v>0</v>
      </c>
      <c r="I87" s="2385">
        <v>0</v>
      </c>
      <c r="J87" s="2386">
        <v>0</v>
      </c>
    </row>
    <row r="88" spans="2:10" ht="14.65" hidden="1">
      <c r="B88" s="2357"/>
      <c r="C88" s="2383" t="s">
        <v>2100</v>
      </c>
      <c r="D88" s="2380">
        <v>4121</v>
      </c>
      <c r="E88" s="2381">
        <v>0</v>
      </c>
      <c r="F88" s="2381">
        <v>0</v>
      </c>
      <c r="G88" s="2381">
        <v>0</v>
      </c>
      <c r="H88" s="2381">
        <v>0</v>
      </c>
      <c r="I88" s="2381">
        <v>0</v>
      </c>
      <c r="J88" s="2382">
        <v>0</v>
      </c>
    </row>
    <row r="89" spans="2:10" ht="14.65" hidden="1">
      <c r="B89" s="2357"/>
      <c r="C89" s="2393" t="s">
        <v>2061</v>
      </c>
      <c r="D89" s="2380" t="s">
        <v>34</v>
      </c>
      <c r="E89" s="2381"/>
      <c r="F89" s="2381"/>
      <c r="G89" s="2381"/>
      <c r="H89" s="2381"/>
      <c r="I89" s="2381"/>
      <c r="J89" s="2382"/>
    </row>
    <row r="90" spans="2:10" ht="14.65" hidden="1">
      <c r="B90" s="2357"/>
      <c r="C90" s="2383" t="s">
        <v>2062</v>
      </c>
      <c r="D90" s="2384">
        <v>4121</v>
      </c>
      <c r="E90" s="2385"/>
      <c r="F90" s="2385"/>
      <c r="G90" s="2385"/>
      <c r="H90" s="2385"/>
      <c r="I90" s="2385"/>
      <c r="J90" s="2386"/>
    </row>
    <row r="91" spans="2:10" ht="14.65" hidden="1">
      <c r="B91" s="2357"/>
      <c r="C91" s="2393" t="s">
        <v>2063</v>
      </c>
      <c r="D91" s="2380">
        <v>4121</v>
      </c>
      <c r="E91" s="2381"/>
      <c r="F91" s="2381"/>
      <c r="G91" s="2381"/>
      <c r="H91" s="2381"/>
      <c r="I91" s="2381"/>
      <c r="J91" s="2382"/>
    </row>
    <row r="92" spans="2:10" ht="14.65">
      <c r="B92" s="2357"/>
      <c r="C92" s="2393" t="s">
        <v>2064</v>
      </c>
      <c r="D92" s="2380">
        <v>4122</v>
      </c>
      <c r="E92" s="2381"/>
      <c r="F92" s="2381"/>
      <c r="G92" s="2381"/>
      <c r="H92" s="2381"/>
      <c r="I92" s="2381"/>
      <c r="J92" s="2382"/>
    </row>
    <row r="93" spans="2:10" ht="14.65" hidden="1">
      <c r="B93" s="2357"/>
      <c r="C93" s="2393" t="s">
        <v>35</v>
      </c>
      <c r="D93" s="2380">
        <v>4112</v>
      </c>
      <c r="E93" s="2381">
        <v>10108300</v>
      </c>
      <c r="F93" s="2381">
        <v>10108300</v>
      </c>
      <c r="G93" s="2381">
        <v>10095200</v>
      </c>
      <c r="H93" s="2381">
        <v>10095200</v>
      </c>
      <c r="I93" s="2381">
        <v>10095200</v>
      </c>
      <c r="J93" s="2382">
        <v>10095200</v>
      </c>
    </row>
    <row r="94" spans="2:10" ht="14.65">
      <c r="B94" s="2357"/>
      <c r="C94" s="2393" t="s">
        <v>2068</v>
      </c>
      <c r="D94" s="2380">
        <v>4222</v>
      </c>
      <c r="E94" s="2381"/>
      <c r="F94" s="2381"/>
      <c r="G94" s="2381"/>
      <c r="H94" s="2381"/>
      <c r="I94" s="2381"/>
      <c r="J94" s="2382"/>
    </row>
    <row r="95" spans="2:10" ht="14.65" hidden="1">
      <c r="B95" s="2357"/>
      <c r="C95" s="2393" t="s">
        <v>2108</v>
      </c>
      <c r="D95" s="2380">
        <v>4216</v>
      </c>
      <c r="E95" s="2381"/>
      <c r="F95" s="2381">
        <v>30398511</v>
      </c>
      <c r="G95" s="2381">
        <v>30398511</v>
      </c>
      <c r="H95" s="2381">
        <v>30398511</v>
      </c>
      <c r="I95" s="2381">
        <v>30398511</v>
      </c>
      <c r="J95" s="2382">
        <v>30398511</v>
      </c>
    </row>
    <row r="96" spans="2:10" ht="14.65" hidden="1">
      <c r="B96" s="2357"/>
      <c r="C96" s="2393" t="s">
        <v>2065</v>
      </c>
      <c r="D96" s="2380" t="s">
        <v>36</v>
      </c>
      <c r="E96" s="2385"/>
      <c r="F96" s="2385"/>
      <c r="G96" s="2385"/>
      <c r="H96" s="2385"/>
      <c r="I96" s="2385"/>
      <c r="J96" s="2386"/>
    </row>
    <row r="97" spans="2:10" ht="14.65" hidden="1">
      <c r="B97" s="2357"/>
      <c r="C97" s="2393" t="s">
        <v>2066</v>
      </c>
      <c r="D97" s="2380">
        <v>4216</v>
      </c>
      <c r="E97" s="2385"/>
      <c r="F97" s="2385"/>
      <c r="G97" s="2385"/>
      <c r="H97" s="2385"/>
      <c r="I97" s="2385"/>
      <c r="J97" s="2386"/>
    </row>
    <row r="98" spans="2:10" ht="14.65">
      <c r="B98" s="2357"/>
      <c r="C98" s="2383" t="s">
        <v>1913</v>
      </c>
      <c r="D98" s="2384">
        <v>4117</v>
      </c>
      <c r="E98" s="2385"/>
      <c r="F98" s="2385"/>
      <c r="G98" s="2385"/>
      <c r="H98" s="2385"/>
      <c r="I98" s="2385"/>
      <c r="J98" s="2386"/>
    </row>
    <row r="99" spans="2:10" ht="14.65">
      <c r="B99" s="2357"/>
      <c r="C99" s="2383" t="s">
        <v>349</v>
      </c>
      <c r="D99" s="2384">
        <v>4121</v>
      </c>
      <c r="E99" s="2385">
        <v>400000</v>
      </c>
      <c r="F99" s="2385">
        <v>100000</v>
      </c>
      <c r="G99" s="2385">
        <v>100000</v>
      </c>
      <c r="H99" s="2385">
        <v>100000</v>
      </c>
      <c r="I99" s="2385">
        <v>100000</v>
      </c>
      <c r="J99" s="2386">
        <v>100000</v>
      </c>
    </row>
    <row r="100" spans="2:10" ht="14.65" hidden="1">
      <c r="B100" s="2357"/>
      <c r="C100" s="2383" t="s">
        <v>350</v>
      </c>
      <c r="D100" s="2384">
        <v>4121</v>
      </c>
      <c r="E100" s="2385">
        <v>898400</v>
      </c>
      <c r="F100" s="2385">
        <v>2229000</v>
      </c>
      <c r="G100" s="2385">
        <v>2229000</v>
      </c>
      <c r="H100" s="2385">
        <v>2229000</v>
      </c>
      <c r="I100" s="2385">
        <v>2229000</v>
      </c>
      <c r="J100" s="2386">
        <v>2229000</v>
      </c>
    </row>
    <row r="101" spans="2:10" ht="14.65" hidden="1">
      <c r="B101" s="2357"/>
      <c r="C101" s="2383" t="s">
        <v>956</v>
      </c>
      <c r="D101" s="2384">
        <v>4216</v>
      </c>
      <c r="E101" s="2385">
        <v>0</v>
      </c>
      <c r="F101" s="2385">
        <v>0</v>
      </c>
      <c r="G101" s="2385">
        <v>0</v>
      </c>
      <c r="H101" s="2385">
        <v>0</v>
      </c>
      <c r="I101" s="2385">
        <v>0</v>
      </c>
      <c r="J101" s="2386">
        <v>0</v>
      </c>
    </row>
    <row r="102" spans="2:10" ht="14.65" hidden="1">
      <c r="B102" s="2357"/>
      <c r="C102" s="2393" t="s">
        <v>2067</v>
      </c>
      <c r="D102" s="2380">
        <v>4216</v>
      </c>
      <c r="E102" s="2385">
        <v>0</v>
      </c>
      <c r="F102" s="2385">
        <v>0</v>
      </c>
      <c r="G102" s="2385">
        <v>0</v>
      </c>
      <c r="H102" s="2385">
        <v>0</v>
      </c>
      <c r="I102" s="2385">
        <v>0</v>
      </c>
      <c r="J102" s="2386">
        <v>0</v>
      </c>
    </row>
    <row r="103" spans="2:10" ht="14.65">
      <c r="B103" s="2357"/>
      <c r="C103" s="2383" t="s">
        <v>1229</v>
      </c>
      <c r="D103" s="2384">
        <v>4222</v>
      </c>
      <c r="E103" s="2385">
        <v>0</v>
      </c>
      <c r="F103" s="2385">
        <v>0</v>
      </c>
      <c r="G103" s="2385">
        <v>0</v>
      </c>
      <c r="H103" s="2385">
        <v>0</v>
      </c>
      <c r="I103" s="2385">
        <v>0</v>
      </c>
      <c r="J103" s="2386">
        <v>0</v>
      </c>
    </row>
    <row r="104" spans="2:10" ht="14.65" hidden="1">
      <c r="B104" s="2357"/>
      <c r="C104" s="2383" t="s">
        <v>2300</v>
      </c>
      <c r="D104" s="2384">
        <v>4216</v>
      </c>
      <c r="E104" s="2385"/>
      <c r="F104" s="2385">
        <v>15000</v>
      </c>
      <c r="G104" s="2385">
        <v>15000</v>
      </c>
      <c r="H104" s="2385">
        <v>15000</v>
      </c>
      <c r="I104" s="2385">
        <v>15000</v>
      </c>
      <c r="J104" s="2386">
        <v>15000</v>
      </c>
    </row>
    <row r="105" spans="2:10" ht="14.65">
      <c r="B105" s="2357"/>
      <c r="C105" s="2383" t="s">
        <v>1922</v>
      </c>
      <c r="D105" s="2384">
        <v>4216</v>
      </c>
      <c r="E105" s="2385">
        <v>15505276</v>
      </c>
      <c r="F105" s="2385">
        <v>0</v>
      </c>
      <c r="G105" s="2385">
        <v>0</v>
      </c>
      <c r="H105" s="2385">
        <v>0</v>
      </c>
      <c r="I105" s="2385">
        <v>0</v>
      </c>
      <c r="J105" s="2386">
        <v>0</v>
      </c>
    </row>
    <row r="106" spans="2:10" ht="14.65">
      <c r="B106" s="2357"/>
      <c r="C106" s="2383" t="s">
        <v>2555</v>
      </c>
      <c r="D106" s="2384">
        <v>4216</v>
      </c>
      <c r="E106" s="2385"/>
      <c r="F106" s="2385">
        <v>9020110</v>
      </c>
      <c r="G106" s="2385">
        <v>9020110</v>
      </c>
      <c r="H106" s="2385">
        <v>9020110</v>
      </c>
      <c r="I106" s="2385">
        <v>9020110</v>
      </c>
      <c r="J106" s="2386">
        <v>9020110</v>
      </c>
    </row>
    <row r="107" spans="2:10" ht="14.65" hidden="1">
      <c r="B107" s="2357"/>
      <c r="C107" s="2383" t="s">
        <v>2556</v>
      </c>
      <c r="D107" s="2384">
        <v>4216</v>
      </c>
      <c r="E107" s="2385"/>
      <c r="F107" s="2385">
        <v>24999000</v>
      </c>
      <c r="G107" s="2385">
        <v>24999000</v>
      </c>
      <c r="H107" s="2385">
        <v>24999000</v>
      </c>
      <c r="I107" s="2385">
        <v>24999000</v>
      </c>
      <c r="J107" s="2386">
        <v>14000000</v>
      </c>
    </row>
    <row r="108" spans="2:10" ht="14.65" hidden="1">
      <c r="B108" s="2357"/>
      <c r="C108" s="2383" t="s">
        <v>1147</v>
      </c>
      <c r="D108" s="2384" t="s">
        <v>36</v>
      </c>
      <c r="E108" s="2385">
        <v>750000</v>
      </c>
      <c r="F108" s="2385">
        <v>0</v>
      </c>
      <c r="G108" s="2385">
        <v>0</v>
      </c>
      <c r="H108" s="2385">
        <v>0</v>
      </c>
      <c r="I108" s="2385">
        <v>0</v>
      </c>
      <c r="J108" s="2386">
        <v>0</v>
      </c>
    </row>
    <row r="109" spans="2:10" ht="14.65" hidden="1">
      <c r="B109" s="2357"/>
      <c r="C109" s="2383" t="s">
        <v>957</v>
      </c>
      <c r="D109" s="2384">
        <v>4216</v>
      </c>
      <c r="E109" s="2385">
        <v>0</v>
      </c>
      <c r="F109" s="2385">
        <v>0</v>
      </c>
      <c r="G109" s="2385">
        <v>0</v>
      </c>
      <c r="H109" s="2385">
        <v>0</v>
      </c>
      <c r="I109" s="2385">
        <v>0</v>
      </c>
      <c r="J109" s="2386">
        <v>0</v>
      </c>
    </row>
    <row r="110" spans="2:10" ht="14.65" hidden="1">
      <c r="B110" s="2357"/>
      <c r="C110" s="2383" t="s">
        <v>1228</v>
      </c>
      <c r="D110" s="2384">
        <v>4216</v>
      </c>
      <c r="E110" s="2385">
        <v>0</v>
      </c>
      <c r="F110" s="2385">
        <v>0</v>
      </c>
      <c r="G110" s="2385">
        <v>0</v>
      </c>
      <c r="H110" s="2385">
        <v>0</v>
      </c>
      <c r="I110" s="2385">
        <v>0</v>
      </c>
      <c r="J110" s="2386">
        <v>0</v>
      </c>
    </row>
    <row r="111" spans="2:10" ht="28.9" hidden="1">
      <c r="B111" s="2357"/>
      <c r="C111" s="2394" t="s">
        <v>1148</v>
      </c>
      <c r="D111" s="2384" t="s">
        <v>36</v>
      </c>
      <c r="E111" s="2385">
        <v>0</v>
      </c>
      <c r="F111" s="2385">
        <v>0</v>
      </c>
      <c r="G111" s="2385">
        <v>0</v>
      </c>
      <c r="H111" s="2385">
        <v>0</v>
      </c>
      <c r="I111" s="2385">
        <v>0</v>
      </c>
      <c r="J111" s="2386">
        <v>0</v>
      </c>
    </row>
    <row r="112" spans="2:10" ht="14.65">
      <c r="B112" s="2357"/>
      <c r="C112" s="2383" t="s">
        <v>1149</v>
      </c>
      <c r="D112" s="2384" t="s">
        <v>36</v>
      </c>
      <c r="E112" s="2385">
        <v>0</v>
      </c>
      <c r="F112" s="2385">
        <v>0</v>
      </c>
      <c r="G112" s="2385">
        <v>0</v>
      </c>
      <c r="H112" s="2385">
        <v>0</v>
      </c>
      <c r="I112" s="2385">
        <v>0</v>
      </c>
      <c r="J112" s="2386">
        <v>0</v>
      </c>
    </row>
    <row r="113" spans="2:10" ht="14.65" hidden="1">
      <c r="B113" s="2357"/>
      <c r="C113" s="2383" t="s">
        <v>2101</v>
      </c>
      <c r="D113" s="2384">
        <v>4122</v>
      </c>
      <c r="E113" s="2385">
        <v>1916100</v>
      </c>
      <c r="F113" s="2385">
        <v>1916100</v>
      </c>
      <c r="G113" s="2385">
        <v>1744000</v>
      </c>
      <c r="H113" s="2385">
        <v>1744000</v>
      </c>
      <c r="I113" s="2385">
        <v>1744000</v>
      </c>
      <c r="J113" s="2386">
        <v>1744000</v>
      </c>
    </row>
    <row r="114" spans="2:10" ht="14.65">
      <c r="B114" s="2357"/>
      <c r="C114" s="2370"/>
      <c r="D114" s="2371"/>
      <c r="E114" s="2372"/>
      <c r="F114" s="2372"/>
      <c r="G114" s="2372"/>
      <c r="H114" s="2372"/>
      <c r="I114" s="2372"/>
      <c r="J114" s="2373"/>
    </row>
    <row r="115" spans="2:10" ht="15" thickBot="1">
      <c r="B115" s="2374" t="s">
        <v>232</v>
      </c>
      <c r="C115" s="2375" t="s">
        <v>233</v>
      </c>
      <c r="D115" s="2376"/>
      <c r="E115" s="2377">
        <v>14800000</v>
      </c>
      <c r="F115" s="2377">
        <v>132960000</v>
      </c>
      <c r="G115" s="2377">
        <v>139348654</v>
      </c>
      <c r="H115" s="2377">
        <v>131788654</v>
      </c>
      <c r="I115" s="2377">
        <v>131788654</v>
      </c>
      <c r="J115" s="2378">
        <v>131788654</v>
      </c>
    </row>
    <row r="116" spans="2:10" ht="15" hidden="1" thickTop="1">
      <c r="B116" s="2162"/>
      <c r="C116" s="2393" t="s">
        <v>234</v>
      </c>
      <c r="D116" s="2380" t="s">
        <v>38</v>
      </c>
      <c r="E116" s="2201">
        <v>14800000</v>
      </c>
      <c r="F116" s="2381">
        <v>15000000</v>
      </c>
      <c r="G116" s="2381">
        <v>15000000</v>
      </c>
      <c r="H116" s="2381">
        <v>15000000</v>
      </c>
      <c r="I116" s="2381">
        <v>15000000</v>
      </c>
      <c r="J116" s="2395">
        <v>15000000</v>
      </c>
    </row>
    <row r="117" spans="2:10" ht="15" thickTop="1">
      <c r="B117" s="2162"/>
      <c r="C117" s="2383" t="s">
        <v>776</v>
      </c>
      <c r="D117" s="2384" t="s">
        <v>38</v>
      </c>
      <c r="E117" s="2211">
        <v>0</v>
      </c>
      <c r="F117" s="2385">
        <v>0</v>
      </c>
      <c r="G117" s="2385">
        <v>0</v>
      </c>
      <c r="H117" s="2385">
        <v>0</v>
      </c>
      <c r="I117" s="2385">
        <v>0</v>
      </c>
      <c r="J117" s="2386">
        <v>0</v>
      </c>
    </row>
    <row r="118" spans="2:10" ht="14.65">
      <c r="B118" s="2162"/>
      <c r="C118" s="2383" t="s">
        <v>774</v>
      </c>
      <c r="D118" s="2384" t="s">
        <v>60</v>
      </c>
      <c r="E118" s="2211">
        <v>0</v>
      </c>
      <c r="F118" s="2385">
        <v>7560000</v>
      </c>
      <c r="G118" s="2385">
        <v>7560000</v>
      </c>
      <c r="H118" s="2385">
        <v>0</v>
      </c>
      <c r="I118" s="2385">
        <v>0</v>
      </c>
      <c r="J118" s="2386">
        <v>0</v>
      </c>
    </row>
    <row r="119" spans="2:10" ht="14.65">
      <c r="B119" s="2162"/>
      <c r="C119" s="2383" t="s">
        <v>2545</v>
      </c>
      <c r="D119" s="2384" t="s">
        <v>60</v>
      </c>
      <c r="E119" s="2211"/>
      <c r="F119" s="2385">
        <v>81000000</v>
      </c>
      <c r="G119" s="2385">
        <v>87388654</v>
      </c>
      <c r="H119" s="2385">
        <v>87388654</v>
      </c>
      <c r="I119" s="2385">
        <v>87388654</v>
      </c>
      <c r="J119" s="2386">
        <v>87388654</v>
      </c>
    </row>
    <row r="120" spans="2:10" ht="14.65">
      <c r="B120" s="2162"/>
      <c r="C120" s="2383" t="s">
        <v>2643</v>
      </c>
      <c r="D120" s="2384" t="s">
        <v>115</v>
      </c>
      <c r="E120" s="2372"/>
      <c r="F120" s="2372">
        <v>29400000</v>
      </c>
      <c r="G120" s="2372">
        <v>29400000</v>
      </c>
      <c r="H120" s="2372">
        <v>29400000</v>
      </c>
      <c r="I120" s="2372">
        <v>29400000</v>
      </c>
      <c r="J120" s="2373">
        <v>29400000</v>
      </c>
    </row>
    <row r="121" spans="2:10" ht="15" thickBot="1">
      <c r="B121" s="2374" t="s">
        <v>235</v>
      </c>
      <c r="C121" s="2375"/>
      <c r="D121" s="2376"/>
      <c r="E121" s="2377">
        <v>243932554</v>
      </c>
      <c r="F121" s="2377">
        <v>415954204</v>
      </c>
      <c r="G121" s="2377">
        <v>440068727</v>
      </c>
      <c r="H121" s="2377">
        <v>432844418</v>
      </c>
      <c r="I121" s="2377">
        <v>432844418</v>
      </c>
      <c r="J121" s="2378">
        <v>435495078</v>
      </c>
    </row>
    <row r="122" spans="2:10" ht="13.9" thickTop="1"/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3"/>
  <sheetViews>
    <sheetView topLeftCell="A54" workbookViewId="0">
      <selection activeCell="J73" sqref="J73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6.86328125" style="318" hidden="1" customWidth="1"/>
    <col min="7" max="7" width="21.86328125" style="318" hidden="1" customWidth="1"/>
    <col min="8" max="8" width="16.73046875" style="316" hidden="1" customWidth="1"/>
    <col min="9" max="9" width="14.265625" style="316" bestFit="1" customWidth="1"/>
    <col min="10" max="10" width="13.265625" style="316" bestFit="1" customWidth="1"/>
    <col min="11" max="16384" width="9" style="316"/>
  </cols>
  <sheetData>
    <row r="1" spans="2:10" ht="14.65">
      <c r="B1" s="2163" t="s">
        <v>2345</v>
      </c>
      <c r="C1" s="109"/>
      <c r="D1" s="114"/>
      <c r="E1" s="190"/>
      <c r="F1" s="190"/>
      <c r="G1" s="190"/>
    </row>
    <row r="2" spans="2:10" ht="13.9" thickBot="1">
      <c r="B2" s="109"/>
      <c r="C2" s="109"/>
      <c r="D2" s="114"/>
      <c r="E2" s="190"/>
      <c r="F2" s="190"/>
      <c r="G2" s="190"/>
    </row>
    <row r="3" spans="2:10" s="432" customFormat="1" ht="29.65" thickBot="1">
      <c r="B3" s="2400" t="s">
        <v>237</v>
      </c>
      <c r="C3" s="2401"/>
      <c r="D3" s="2402" t="s">
        <v>63</v>
      </c>
      <c r="E3" s="2403" t="s">
        <v>1934</v>
      </c>
      <c r="F3" s="2403" t="s">
        <v>2346</v>
      </c>
      <c r="G3" s="2403" t="s">
        <v>1934</v>
      </c>
      <c r="H3" s="2403" t="s">
        <v>2644</v>
      </c>
      <c r="I3" s="2403" t="s">
        <v>2766</v>
      </c>
      <c r="J3" s="2404" t="s">
        <v>2107</v>
      </c>
    </row>
    <row r="4" spans="2:10" ht="15" thickBot="1">
      <c r="B4" s="2162"/>
      <c r="C4" s="2162"/>
      <c r="D4" s="2340"/>
      <c r="E4" s="2206"/>
      <c r="F4" s="2206"/>
      <c r="G4" s="2206"/>
    </row>
    <row r="5" spans="2:10" s="432" customFormat="1" ht="15" thickBot="1">
      <c r="B5" s="2405" t="s">
        <v>238</v>
      </c>
      <c r="C5" s="2406" t="s">
        <v>239</v>
      </c>
      <c r="D5" s="2407"/>
      <c r="E5" s="2408">
        <v>157240969.61176002</v>
      </c>
      <c r="F5" s="2408">
        <v>211246024.9982</v>
      </c>
      <c r="G5" s="2408">
        <v>216404576.9982</v>
      </c>
      <c r="H5" s="2408">
        <v>219573986.9982</v>
      </c>
      <c r="I5" s="2408">
        <v>219573986.9982</v>
      </c>
      <c r="J5" s="2409">
        <v>229296286.9982</v>
      </c>
    </row>
    <row r="6" spans="2:10" s="432" customFormat="1" ht="15" thickBot="1">
      <c r="B6" s="2410"/>
      <c r="C6" s="2411" t="s">
        <v>734</v>
      </c>
      <c r="D6" s="2412"/>
      <c r="E6" s="2413">
        <v>44009290</v>
      </c>
      <c r="F6" s="2413">
        <v>50799491.299999997</v>
      </c>
      <c r="G6" s="2413">
        <v>50799491.299999997</v>
      </c>
      <c r="H6" s="2413">
        <v>50799491.299999997</v>
      </c>
      <c r="I6" s="2413">
        <v>50799491.299999997</v>
      </c>
      <c r="J6" s="2414">
        <v>50271491.299999997</v>
      </c>
    </row>
    <row r="7" spans="2:10" s="2481" customFormat="1" ht="15" outlineLevel="1" thickTop="1">
      <c r="B7" s="2415"/>
      <c r="C7" s="2416" t="s">
        <v>64</v>
      </c>
      <c r="D7" s="2417">
        <v>5011</v>
      </c>
      <c r="E7" s="2418">
        <v>27925000</v>
      </c>
      <c r="F7" s="2418">
        <v>31800000</v>
      </c>
      <c r="G7" s="2418">
        <v>31800000</v>
      </c>
      <c r="H7" s="2418">
        <v>31800000</v>
      </c>
      <c r="I7" s="2418">
        <v>31800000</v>
      </c>
      <c r="J7" s="2419">
        <v>31800000</v>
      </c>
    </row>
    <row r="8" spans="2:10" s="2481" customFormat="1" ht="14.65" outlineLevel="1">
      <c r="B8" s="2415"/>
      <c r="C8" s="2421" t="s">
        <v>65</v>
      </c>
      <c r="D8" s="2422">
        <v>5021</v>
      </c>
      <c r="E8" s="2423">
        <v>1865000</v>
      </c>
      <c r="F8" s="2423">
        <v>2604500</v>
      </c>
      <c r="G8" s="2423">
        <v>2604500</v>
      </c>
      <c r="H8" s="2423">
        <v>2604500</v>
      </c>
      <c r="I8" s="2423">
        <v>2604500</v>
      </c>
      <c r="J8" s="2424">
        <v>2076500</v>
      </c>
    </row>
    <row r="9" spans="2:10" ht="18" customHeight="1" outlineLevel="1">
      <c r="B9" s="2357"/>
      <c r="C9" s="2383" t="s">
        <v>478</v>
      </c>
      <c r="D9" s="2384">
        <v>5023</v>
      </c>
      <c r="E9" s="2385">
        <v>3020000</v>
      </c>
      <c r="F9" s="2385">
        <v>3500000</v>
      </c>
      <c r="G9" s="2385">
        <v>3500000</v>
      </c>
      <c r="H9" s="2385">
        <v>3500000</v>
      </c>
      <c r="I9" s="2385">
        <v>3500000</v>
      </c>
      <c r="J9" s="2386">
        <v>3500000</v>
      </c>
    </row>
    <row r="10" spans="2:10" ht="18" hidden="1" customHeight="1" outlineLevel="1">
      <c r="B10" s="2357"/>
      <c r="C10" s="2354" t="s">
        <v>733</v>
      </c>
      <c r="D10" s="2355">
        <v>5024</v>
      </c>
      <c r="E10" s="2213">
        <v>0</v>
      </c>
      <c r="F10" s="2213">
        <v>0</v>
      </c>
      <c r="G10" s="2213">
        <v>0</v>
      </c>
      <c r="H10" s="2213">
        <v>0</v>
      </c>
      <c r="I10" s="2213">
        <v>0</v>
      </c>
      <c r="J10" s="2356">
        <v>0</v>
      </c>
    </row>
    <row r="11" spans="2:10" ht="18" customHeight="1" outlineLevel="1">
      <c r="B11" s="2357"/>
      <c r="C11" s="2383" t="s">
        <v>66</v>
      </c>
      <c r="D11" s="2384">
        <v>5029</v>
      </c>
      <c r="E11" s="2385">
        <v>30000</v>
      </c>
      <c r="F11" s="2385">
        <v>30000</v>
      </c>
      <c r="G11" s="2385">
        <v>30000</v>
      </c>
      <c r="H11" s="2385">
        <v>30000</v>
      </c>
      <c r="I11" s="2385">
        <v>30000</v>
      </c>
      <c r="J11" s="2386">
        <v>30000</v>
      </c>
    </row>
    <row r="12" spans="2:10" ht="18" customHeight="1" outlineLevel="1">
      <c r="B12" s="2357"/>
      <c r="C12" s="2383" t="s">
        <v>67</v>
      </c>
      <c r="D12" s="2384">
        <v>5031</v>
      </c>
      <c r="E12" s="2385">
        <v>8112500</v>
      </c>
      <c r="F12" s="2385">
        <v>9344125</v>
      </c>
      <c r="G12" s="2385">
        <v>9344125</v>
      </c>
      <c r="H12" s="2385">
        <v>9344125</v>
      </c>
      <c r="I12" s="2385">
        <v>9344125</v>
      </c>
      <c r="J12" s="2386">
        <v>9344125</v>
      </c>
    </row>
    <row r="13" spans="2:10" ht="18" customHeight="1" outlineLevel="1">
      <c r="B13" s="2357"/>
      <c r="C13" s="2383" t="s">
        <v>68</v>
      </c>
      <c r="D13" s="2384">
        <v>5032</v>
      </c>
      <c r="E13" s="2385">
        <v>2920500</v>
      </c>
      <c r="F13" s="2385">
        <v>3363885</v>
      </c>
      <c r="G13" s="2385">
        <v>3363885</v>
      </c>
      <c r="H13" s="2385">
        <v>3363885</v>
      </c>
      <c r="I13" s="2385">
        <v>3363885</v>
      </c>
      <c r="J13" s="2386">
        <v>3363885</v>
      </c>
    </row>
    <row r="14" spans="2:10" ht="18" customHeight="1">
      <c r="B14" s="2357"/>
      <c r="C14" s="2383" t="s">
        <v>69</v>
      </c>
      <c r="D14" s="2384">
        <v>5038</v>
      </c>
      <c r="E14" s="2385">
        <v>136289.99999999997</v>
      </c>
      <c r="F14" s="2385">
        <v>156981.29999999999</v>
      </c>
      <c r="G14" s="2385">
        <v>156981.29999999999</v>
      </c>
      <c r="H14" s="2385">
        <v>156981.29999999999</v>
      </c>
      <c r="I14" s="2385">
        <v>156981.29999999999</v>
      </c>
      <c r="J14" s="2386">
        <v>156981.29999999999</v>
      </c>
    </row>
    <row r="15" spans="2:10" ht="18" hidden="1" customHeight="1" outlineLevel="1">
      <c r="B15" s="2357"/>
      <c r="C15" s="2425"/>
      <c r="D15" s="2340"/>
      <c r="E15" s="2206"/>
      <c r="F15" s="2206"/>
      <c r="G15" s="2206"/>
      <c r="H15" s="2206"/>
      <c r="I15" s="2206"/>
      <c r="J15" s="2426"/>
    </row>
    <row r="16" spans="2:10" ht="15" outlineLevel="1" thickBot="1">
      <c r="B16" s="2410"/>
      <c r="C16" s="2427" t="s">
        <v>240</v>
      </c>
      <c r="D16" s="2376"/>
      <c r="E16" s="2377">
        <v>113231679.61176001</v>
      </c>
      <c r="F16" s="2377">
        <v>160446533.69819999</v>
      </c>
      <c r="G16" s="2377">
        <v>165605085.69819999</v>
      </c>
      <c r="H16" s="2377">
        <v>168774495.69819999</v>
      </c>
      <c r="I16" s="2377">
        <v>168774495.69819999</v>
      </c>
      <c r="J16" s="2378">
        <v>179024795.69819999</v>
      </c>
    </row>
    <row r="17" spans="2:12" ht="18" hidden="1" customHeight="1" outlineLevel="1" thickTop="1">
      <c r="B17" s="2357"/>
      <c r="C17" s="2393" t="s">
        <v>71</v>
      </c>
      <c r="D17" s="2380">
        <v>5178</v>
      </c>
      <c r="E17" s="2381">
        <v>0</v>
      </c>
      <c r="F17" s="2381">
        <v>0</v>
      </c>
      <c r="G17" s="2381">
        <v>0</v>
      </c>
      <c r="H17" s="2381">
        <v>0</v>
      </c>
      <c r="I17" s="2381">
        <v>0</v>
      </c>
      <c r="J17" s="2382">
        <v>0</v>
      </c>
    </row>
    <row r="18" spans="2:12" ht="18" hidden="1" customHeight="1" outlineLevel="1">
      <c r="B18" s="2357"/>
      <c r="C18" s="2383" t="s">
        <v>72</v>
      </c>
      <c r="D18" s="2384">
        <v>5132</v>
      </c>
      <c r="E18" s="2385">
        <v>0</v>
      </c>
      <c r="F18" s="2385">
        <v>0</v>
      </c>
      <c r="G18" s="2385">
        <v>0</v>
      </c>
      <c r="H18" s="2385">
        <v>0</v>
      </c>
      <c r="I18" s="2385">
        <v>0</v>
      </c>
      <c r="J18" s="2386">
        <v>0</v>
      </c>
    </row>
    <row r="19" spans="2:12" ht="18" customHeight="1" outlineLevel="1" thickTop="1">
      <c r="B19" s="2357"/>
      <c r="C19" s="2383" t="s">
        <v>73</v>
      </c>
      <c r="D19" s="2384">
        <v>5134</v>
      </c>
      <c r="E19" s="2385">
        <v>195000</v>
      </c>
      <c r="F19" s="2385">
        <v>395000</v>
      </c>
      <c r="G19" s="2385">
        <v>395000</v>
      </c>
      <c r="H19" s="2385">
        <v>395000</v>
      </c>
      <c r="I19" s="2385">
        <v>395000</v>
      </c>
      <c r="J19" s="2386">
        <v>395000</v>
      </c>
    </row>
    <row r="20" spans="2:12" ht="18" customHeight="1" outlineLevel="1">
      <c r="B20" s="2357"/>
      <c r="C20" s="2383" t="s">
        <v>74</v>
      </c>
      <c r="D20" s="2384">
        <v>5136</v>
      </c>
      <c r="E20" s="2385">
        <v>313000</v>
      </c>
      <c r="F20" s="2385">
        <v>363000</v>
      </c>
      <c r="G20" s="2385">
        <v>363000</v>
      </c>
      <c r="H20" s="2385">
        <v>363000</v>
      </c>
      <c r="I20" s="2385">
        <v>363000</v>
      </c>
      <c r="J20" s="2386">
        <v>363000</v>
      </c>
    </row>
    <row r="21" spans="2:12" ht="18" customHeight="1" outlineLevel="1">
      <c r="B21" s="2415"/>
      <c r="C21" s="2421" t="s">
        <v>75</v>
      </c>
      <c r="D21" s="2422">
        <v>5137</v>
      </c>
      <c r="E21" s="2423">
        <v>2110000</v>
      </c>
      <c r="F21" s="2423">
        <v>2317000</v>
      </c>
      <c r="G21" s="2423">
        <v>2317000</v>
      </c>
      <c r="H21" s="2423">
        <v>2317000</v>
      </c>
      <c r="I21" s="2423">
        <v>2317000</v>
      </c>
      <c r="J21" s="2424">
        <v>2317000</v>
      </c>
    </row>
    <row r="22" spans="2:12" ht="18" customHeight="1" outlineLevel="1">
      <c r="B22" s="2357"/>
      <c r="C22" s="2383" t="s">
        <v>76</v>
      </c>
      <c r="D22" s="2384">
        <v>5139</v>
      </c>
      <c r="E22" s="2385">
        <v>2119000</v>
      </c>
      <c r="F22" s="2385">
        <v>3866000</v>
      </c>
      <c r="G22" s="2385">
        <v>3866000</v>
      </c>
      <c r="H22" s="2385">
        <v>3866000</v>
      </c>
      <c r="I22" s="2385">
        <v>3866000</v>
      </c>
      <c r="J22" s="2386">
        <v>3866000</v>
      </c>
    </row>
    <row r="23" spans="2:12" ht="18" customHeight="1" outlineLevel="1">
      <c r="B23" s="2357"/>
      <c r="C23" s="2383" t="s">
        <v>77</v>
      </c>
      <c r="D23" s="2384">
        <v>5151</v>
      </c>
      <c r="E23" s="2385">
        <v>710000</v>
      </c>
      <c r="F23" s="2385">
        <v>688000</v>
      </c>
      <c r="G23" s="2385">
        <v>688000</v>
      </c>
      <c r="H23" s="2385">
        <v>688000</v>
      </c>
      <c r="I23" s="2385">
        <v>688000</v>
      </c>
      <c r="J23" s="2386">
        <v>688000</v>
      </c>
    </row>
    <row r="24" spans="2:12" ht="18" customHeight="1" outlineLevel="1">
      <c r="B24" s="2357"/>
      <c r="C24" s="2383" t="s">
        <v>78</v>
      </c>
      <c r="D24" s="2384">
        <v>5153</v>
      </c>
      <c r="E24" s="2385">
        <v>5440450</v>
      </c>
      <c r="F24" s="2385">
        <v>4034750</v>
      </c>
      <c r="G24" s="2385">
        <v>4036990</v>
      </c>
      <c r="H24" s="2385">
        <v>4036990</v>
      </c>
      <c r="I24" s="2385">
        <v>4036990</v>
      </c>
      <c r="J24" s="2386">
        <v>4036990</v>
      </c>
    </row>
    <row r="25" spans="2:12" ht="18" customHeight="1" outlineLevel="1">
      <c r="B25" s="2357"/>
      <c r="C25" s="2383" t="s">
        <v>79</v>
      </c>
      <c r="D25" s="2384">
        <v>5154</v>
      </c>
      <c r="E25" s="2385">
        <v>7444800</v>
      </c>
      <c r="F25" s="2385">
        <v>5656300</v>
      </c>
      <c r="G25" s="2385">
        <v>5680300</v>
      </c>
      <c r="H25" s="2385">
        <v>5680300</v>
      </c>
      <c r="I25" s="2385">
        <v>5680300</v>
      </c>
      <c r="J25" s="2386">
        <v>5680300</v>
      </c>
    </row>
    <row r="26" spans="2:12" ht="18" customHeight="1" outlineLevel="1">
      <c r="B26" s="2357"/>
      <c r="C26" s="2383" t="s">
        <v>80</v>
      </c>
      <c r="D26" s="2384">
        <v>5156</v>
      </c>
      <c r="E26" s="2385">
        <v>640000</v>
      </c>
      <c r="F26" s="2385">
        <v>647000</v>
      </c>
      <c r="G26" s="2385">
        <v>717000</v>
      </c>
      <c r="H26" s="2385">
        <v>717000</v>
      </c>
      <c r="I26" s="2385">
        <v>717000</v>
      </c>
      <c r="J26" s="2386">
        <v>717000</v>
      </c>
    </row>
    <row r="27" spans="2:12" ht="18" customHeight="1" outlineLevel="1">
      <c r="B27" s="2357"/>
      <c r="C27" s="2383" t="s">
        <v>81</v>
      </c>
      <c r="D27" s="2384">
        <v>5161</v>
      </c>
      <c r="E27" s="2385">
        <v>695000</v>
      </c>
      <c r="F27" s="2385">
        <v>745000</v>
      </c>
      <c r="G27" s="2385">
        <v>745000</v>
      </c>
      <c r="H27" s="2385">
        <v>745000</v>
      </c>
      <c r="I27" s="2385">
        <v>745000</v>
      </c>
      <c r="J27" s="2386">
        <v>745000</v>
      </c>
    </row>
    <row r="28" spans="2:12" ht="18" customHeight="1" outlineLevel="1">
      <c r="B28" s="2357"/>
      <c r="C28" s="2383" t="s">
        <v>82</v>
      </c>
      <c r="D28" s="2384">
        <v>5162</v>
      </c>
      <c r="E28" s="2385">
        <v>564000</v>
      </c>
      <c r="F28" s="2385">
        <v>808545</v>
      </c>
      <c r="G28" s="2385">
        <v>808545</v>
      </c>
      <c r="H28" s="2385">
        <v>808545</v>
      </c>
      <c r="I28" s="2385">
        <v>808545</v>
      </c>
      <c r="J28" s="2386">
        <v>808545</v>
      </c>
    </row>
    <row r="29" spans="2:12" ht="14.65" outlineLevel="1">
      <c r="B29" s="2357"/>
      <c r="C29" s="2383" t="s">
        <v>83</v>
      </c>
      <c r="D29" s="2384">
        <v>5163</v>
      </c>
      <c r="E29" s="2385">
        <v>920000</v>
      </c>
      <c r="F29" s="2385">
        <v>1220000</v>
      </c>
      <c r="G29" s="2385">
        <v>1220000</v>
      </c>
      <c r="H29" s="2385">
        <v>1307990</v>
      </c>
      <c r="I29" s="2385">
        <v>1307990</v>
      </c>
      <c r="J29" s="2386">
        <v>1307990</v>
      </c>
    </row>
    <row r="30" spans="2:12" s="2481" customFormat="1" ht="14.65" outlineLevel="1">
      <c r="B30" s="2357"/>
      <c r="C30" s="2383" t="s">
        <v>84</v>
      </c>
      <c r="D30" s="2384">
        <v>5164</v>
      </c>
      <c r="E30" s="2385">
        <v>1538137</v>
      </c>
      <c r="F30" s="2385">
        <v>1699563</v>
      </c>
      <c r="G30" s="2385">
        <v>1683355</v>
      </c>
      <c r="H30" s="2385">
        <v>1583355</v>
      </c>
      <c r="I30" s="2385">
        <v>1583355</v>
      </c>
      <c r="J30" s="2386">
        <v>1623355</v>
      </c>
    </row>
    <row r="31" spans="2:12" ht="18" customHeight="1" outlineLevel="1">
      <c r="B31" s="2357"/>
      <c r="C31" s="2383" t="s">
        <v>85</v>
      </c>
      <c r="D31" s="2384">
        <v>5166</v>
      </c>
      <c r="E31" s="2385">
        <v>700000</v>
      </c>
      <c r="F31" s="2385">
        <v>800000</v>
      </c>
      <c r="G31" s="2385">
        <v>800000</v>
      </c>
      <c r="H31" s="2385">
        <v>800000</v>
      </c>
      <c r="I31" s="2385">
        <v>800000</v>
      </c>
      <c r="J31" s="2386">
        <v>800000</v>
      </c>
    </row>
    <row r="32" spans="2:12" ht="18" customHeight="1" outlineLevel="1">
      <c r="B32" s="2357"/>
      <c r="C32" s="2383" t="s">
        <v>86</v>
      </c>
      <c r="D32" s="2384">
        <v>5167</v>
      </c>
      <c r="E32" s="2385">
        <v>375000</v>
      </c>
      <c r="F32" s="2385">
        <v>912900</v>
      </c>
      <c r="G32" s="2385">
        <v>912900</v>
      </c>
      <c r="H32" s="2385">
        <v>912900</v>
      </c>
      <c r="I32" s="2385">
        <v>912900</v>
      </c>
      <c r="J32" s="2386">
        <v>912900</v>
      </c>
      <c r="L32" s="316" t="s">
        <v>582</v>
      </c>
    </row>
    <row r="33" spans="2:10" ht="18" customHeight="1" outlineLevel="1">
      <c r="B33" s="2357"/>
      <c r="C33" s="2383" t="s">
        <v>87</v>
      </c>
      <c r="D33" s="2384">
        <v>5168</v>
      </c>
      <c r="E33" s="2385">
        <v>615000</v>
      </c>
      <c r="F33" s="2385">
        <v>915000</v>
      </c>
      <c r="G33" s="2385">
        <v>965000</v>
      </c>
      <c r="H33" s="2385">
        <v>967420</v>
      </c>
      <c r="I33" s="2385">
        <v>967420</v>
      </c>
      <c r="J33" s="2386">
        <v>967420</v>
      </c>
    </row>
    <row r="34" spans="2:10" ht="18" customHeight="1" outlineLevel="1">
      <c r="B34" s="2415"/>
      <c r="C34" s="2421" t="s">
        <v>88</v>
      </c>
      <c r="D34" s="2422">
        <v>5169</v>
      </c>
      <c r="E34" s="2423">
        <v>18979100</v>
      </c>
      <c r="F34" s="2423">
        <v>22138600</v>
      </c>
      <c r="G34" s="2423">
        <v>22388600</v>
      </c>
      <c r="H34" s="2423">
        <v>23057600</v>
      </c>
      <c r="I34" s="2423">
        <v>23057600</v>
      </c>
      <c r="J34" s="2424">
        <v>26481700</v>
      </c>
    </row>
    <row r="35" spans="2:10" ht="18" customHeight="1" outlineLevel="1">
      <c r="B35" s="2415"/>
      <c r="C35" s="2421" t="s">
        <v>89</v>
      </c>
      <c r="D35" s="2422">
        <v>5171</v>
      </c>
      <c r="E35" s="2423">
        <v>18476480</v>
      </c>
      <c r="F35" s="2423">
        <v>37319480</v>
      </c>
      <c r="G35" s="2423">
        <v>42048000</v>
      </c>
      <c r="H35" s="2423">
        <v>44558000</v>
      </c>
      <c r="I35" s="2423">
        <v>44558000</v>
      </c>
      <c r="J35" s="2424">
        <v>51344200</v>
      </c>
    </row>
    <row r="36" spans="2:10" ht="18" customHeight="1" outlineLevel="1">
      <c r="B36" s="2357"/>
      <c r="C36" s="2383" t="s">
        <v>90</v>
      </c>
      <c r="D36" s="2384">
        <v>5172</v>
      </c>
      <c r="E36" s="2385">
        <v>3364300</v>
      </c>
      <c r="F36" s="2385">
        <v>3028000</v>
      </c>
      <c r="G36" s="2385">
        <v>3028000</v>
      </c>
      <c r="H36" s="2385">
        <v>3028000</v>
      </c>
      <c r="I36" s="2385">
        <v>3028000</v>
      </c>
      <c r="J36" s="2386">
        <v>3028000</v>
      </c>
    </row>
    <row r="37" spans="2:10" s="2481" customFormat="1" ht="14.65" outlineLevel="1">
      <c r="B37" s="2357"/>
      <c r="C37" s="2383" t="s">
        <v>91</v>
      </c>
      <c r="D37" s="2384">
        <v>5173</v>
      </c>
      <c r="E37" s="2385">
        <v>62000</v>
      </c>
      <c r="F37" s="2385">
        <v>62000</v>
      </c>
      <c r="G37" s="2385">
        <v>62000</v>
      </c>
      <c r="H37" s="2385">
        <v>62000</v>
      </c>
      <c r="I37" s="2385">
        <v>62000</v>
      </c>
      <c r="J37" s="2386">
        <v>62000</v>
      </c>
    </row>
    <row r="38" spans="2:10" ht="18" customHeight="1" outlineLevel="1">
      <c r="B38" s="2357"/>
      <c r="C38" s="2383" t="s">
        <v>92</v>
      </c>
      <c r="D38" s="2384">
        <v>5175</v>
      </c>
      <c r="E38" s="2385">
        <v>431000</v>
      </c>
      <c r="F38" s="2385">
        <v>443000</v>
      </c>
      <c r="G38" s="2385">
        <v>443000</v>
      </c>
      <c r="H38" s="2385">
        <v>443000</v>
      </c>
      <c r="I38" s="2385">
        <v>443000</v>
      </c>
      <c r="J38" s="2386">
        <v>443000</v>
      </c>
    </row>
    <row r="39" spans="2:10" ht="18" hidden="1" customHeight="1" outlineLevel="1">
      <c r="B39" s="2357"/>
      <c r="C39" s="2383" t="s">
        <v>93</v>
      </c>
      <c r="D39" s="2384">
        <v>5179</v>
      </c>
      <c r="E39" s="2385">
        <v>0</v>
      </c>
      <c r="F39" s="2385">
        <v>0</v>
      </c>
      <c r="G39" s="2385">
        <v>0</v>
      </c>
      <c r="H39" s="2385">
        <v>0</v>
      </c>
      <c r="I39" s="2385">
        <v>0</v>
      </c>
      <c r="J39" s="2386">
        <v>0</v>
      </c>
    </row>
    <row r="40" spans="2:10" ht="18" hidden="1" customHeight="1" outlineLevel="1">
      <c r="B40" s="2357"/>
      <c r="C40" s="2383" t="s">
        <v>358</v>
      </c>
      <c r="D40" s="2384">
        <v>5192</v>
      </c>
      <c r="E40" s="2385">
        <v>0</v>
      </c>
      <c r="F40" s="2385">
        <v>0</v>
      </c>
      <c r="G40" s="2385">
        <v>0</v>
      </c>
      <c r="H40" s="2385">
        <v>0</v>
      </c>
      <c r="I40" s="2385">
        <v>0</v>
      </c>
      <c r="J40" s="2386">
        <v>0</v>
      </c>
    </row>
    <row r="41" spans="2:10" ht="18" customHeight="1" outlineLevel="1">
      <c r="B41" s="2357"/>
      <c r="C41" s="2383" t="s">
        <v>94</v>
      </c>
      <c r="D41" s="2384">
        <v>5193</v>
      </c>
      <c r="E41" s="2385">
        <v>2978575</v>
      </c>
      <c r="F41" s="2385">
        <v>4000000</v>
      </c>
      <c r="G41" s="2385">
        <v>4000000</v>
      </c>
      <c r="H41" s="2385">
        <v>4000000</v>
      </c>
      <c r="I41" s="2385">
        <v>4000000</v>
      </c>
      <c r="J41" s="2386">
        <v>4000000</v>
      </c>
    </row>
    <row r="42" spans="2:10" ht="18" customHeight="1" outlineLevel="1">
      <c r="B42" s="2357"/>
      <c r="C42" s="2383" t="s">
        <v>95</v>
      </c>
      <c r="D42" s="2384">
        <v>5194</v>
      </c>
      <c r="E42" s="2385">
        <v>310000</v>
      </c>
      <c r="F42" s="2385">
        <v>345000</v>
      </c>
      <c r="G42" s="2385">
        <v>345000</v>
      </c>
      <c r="H42" s="2385">
        <v>345000</v>
      </c>
      <c r="I42" s="2385">
        <v>345000</v>
      </c>
      <c r="J42" s="2386">
        <v>345000</v>
      </c>
    </row>
    <row r="43" spans="2:10" ht="18" customHeight="1" outlineLevel="1">
      <c r="B43" s="2357"/>
      <c r="C43" s="2383" t="s">
        <v>96</v>
      </c>
      <c r="D43" s="2384">
        <v>5329</v>
      </c>
      <c r="E43" s="2385">
        <v>2514380</v>
      </c>
      <c r="F43" s="2385">
        <v>4274360</v>
      </c>
      <c r="G43" s="2385">
        <v>4274360</v>
      </c>
      <c r="H43" s="2385">
        <v>4274360</v>
      </c>
      <c r="I43" s="2385">
        <v>4274360</v>
      </c>
      <c r="J43" s="2386">
        <v>4274360</v>
      </c>
    </row>
    <row r="44" spans="2:10" s="323" customFormat="1" ht="18" customHeight="1" outlineLevel="1">
      <c r="B44" s="2415"/>
      <c r="C44" s="2421" t="s">
        <v>97</v>
      </c>
      <c r="D44" s="2422">
        <v>5331</v>
      </c>
      <c r="E44" s="2423">
        <v>33799900</v>
      </c>
      <c r="F44" s="2423">
        <v>53986224</v>
      </c>
      <c r="G44" s="2423">
        <v>54036224</v>
      </c>
      <c r="H44" s="2423">
        <v>54036224</v>
      </c>
      <c r="I44" s="2423">
        <v>54036224</v>
      </c>
      <c r="J44" s="2424">
        <v>54036224</v>
      </c>
    </row>
    <row r="45" spans="2:10" ht="14.65" outlineLevel="1">
      <c r="B45" s="2357"/>
      <c r="C45" s="2383" t="s">
        <v>98</v>
      </c>
      <c r="D45" s="2384">
        <v>5361</v>
      </c>
      <c r="E45" s="2385">
        <v>40000</v>
      </c>
      <c r="F45" s="2385">
        <v>40000</v>
      </c>
      <c r="G45" s="2385">
        <v>40000</v>
      </c>
      <c r="H45" s="2385">
        <v>40000</v>
      </c>
      <c r="I45" s="2385">
        <v>40000</v>
      </c>
      <c r="J45" s="2386">
        <v>40000</v>
      </c>
    </row>
    <row r="46" spans="2:10" ht="21" customHeight="1">
      <c r="B46" s="2357"/>
      <c r="C46" s="2383" t="s">
        <v>99</v>
      </c>
      <c r="D46" s="2384">
        <v>5362</v>
      </c>
      <c r="E46" s="2385">
        <v>1130000</v>
      </c>
      <c r="F46" s="2385">
        <v>3690000</v>
      </c>
      <c r="G46" s="2385">
        <v>3690000</v>
      </c>
      <c r="H46" s="2385">
        <v>3690000</v>
      </c>
      <c r="I46" s="2385">
        <v>3690000</v>
      </c>
      <c r="J46" s="2386">
        <v>3690000</v>
      </c>
    </row>
    <row r="47" spans="2:10" s="2481" customFormat="1" ht="14.65" hidden="1" outlineLevel="1">
      <c r="B47" s="2357"/>
      <c r="C47" s="2383" t="s">
        <v>775</v>
      </c>
      <c r="D47" s="2384">
        <v>5363</v>
      </c>
      <c r="E47" s="2385">
        <v>0</v>
      </c>
      <c r="F47" s="2385">
        <v>0</v>
      </c>
      <c r="G47" s="2385">
        <v>0</v>
      </c>
      <c r="H47" s="2385">
        <v>0</v>
      </c>
      <c r="I47" s="2385">
        <v>0</v>
      </c>
      <c r="J47" s="2386">
        <v>0</v>
      </c>
    </row>
    <row r="48" spans="2:10" s="2481" customFormat="1" ht="14.65" outlineLevel="1">
      <c r="B48" s="2357"/>
      <c r="C48" s="2383" t="s">
        <v>100</v>
      </c>
      <c r="D48" s="2384">
        <v>5492</v>
      </c>
      <c r="E48" s="2385">
        <v>925000</v>
      </c>
      <c r="F48" s="2385">
        <v>470000</v>
      </c>
      <c r="G48" s="2385">
        <v>470000</v>
      </c>
      <c r="H48" s="2385">
        <v>470000</v>
      </c>
      <c r="I48" s="2385">
        <v>470000</v>
      </c>
      <c r="J48" s="2386">
        <v>470000</v>
      </c>
    </row>
    <row r="49" spans="2:10" ht="14.65" outlineLevel="1">
      <c r="B49" s="2357"/>
      <c r="C49" s="2383" t="s">
        <v>735</v>
      </c>
      <c r="D49" s="2384">
        <v>5499</v>
      </c>
      <c r="E49" s="2385">
        <v>1620000</v>
      </c>
      <c r="F49" s="2385">
        <v>1980000</v>
      </c>
      <c r="G49" s="2385">
        <v>1980000</v>
      </c>
      <c r="H49" s="2385">
        <v>1980000</v>
      </c>
      <c r="I49" s="2385">
        <v>1980000</v>
      </c>
      <c r="J49" s="2386">
        <v>1980000</v>
      </c>
    </row>
    <row r="50" spans="2:10" ht="18.75" customHeight="1" outlineLevel="1">
      <c r="B50" s="2357"/>
      <c r="C50" s="2383" t="s">
        <v>101</v>
      </c>
      <c r="D50" s="2384">
        <v>5222</v>
      </c>
      <c r="E50" s="2385">
        <v>1200000</v>
      </c>
      <c r="F50" s="2385">
        <v>1200000</v>
      </c>
      <c r="G50" s="2385">
        <v>1200000</v>
      </c>
      <c r="H50" s="2385">
        <v>1200000</v>
      </c>
      <c r="I50" s="2385">
        <v>1200000</v>
      </c>
      <c r="J50" s="2386">
        <v>1200000</v>
      </c>
    </row>
    <row r="51" spans="2:10" ht="18.75" customHeight="1" outlineLevel="1">
      <c r="B51" s="2357"/>
      <c r="C51" s="2383" t="s">
        <v>761</v>
      </c>
      <c r="D51" s="2384">
        <v>5903</v>
      </c>
      <c r="E51" s="2385">
        <v>69012.591499999995</v>
      </c>
      <c r="F51" s="2385">
        <v>74053.766499999998</v>
      </c>
      <c r="G51" s="2385">
        <v>74053.766499999998</v>
      </c>
      <c r="H51" s="2385">
        <v>74053.766499999998</v>
      </c>
      <c r="I51" s="2385">
        <v>74053.766499999998</v>
      </c>
      <c r="J51" s="2386">
        <v>74053.766499999998</v>
      </c>
    </row>
    <row r="52" spans="2:10" ht="18.75" customHeight="1" outlineLevel="1">
      <c r="B52" s="2349"/>
      <c r="C52" s="2354" t="s">
        <v>129</v>
      </c>
      <c r="D52" s="2355">
        <v>5141</v>
      </c>
      <c r="E52" s="2213">
        <v>2952545.0202600001</v>
      </c>
      <c r="F52" s="2213">
        <v>2327757.9317000001</v>
      </c>
      <c r="G52" s="2213">
        <v>2327757.9317000001</v>
      </c>
      <c r="H52" s="2213">
        <v>2327757.9317000001</v>
      </c>
      <c r="I52" s="2213">
        <v>2327757.9317000001</v>
      </c>
      <c r="J52" s="2356">
        <v>2327757.9317000001</v>
      </c>
    </row>
    <row r="53" spans="2:10" ht="18.75" customHeight="1" outlineLevel="1">
      <c r="B53" s="2357"/>
      <c r="C53" s="2383" t="s">
        <v>736</v>
      </c>
      <c r="D53" s="2371">
        <v>5144</v>
      </c>
      <c r="E53" s="2372">
        <v>0</v>
      </c>
      <c r="F53" s="2372">
        <v>0</v>
      </c>
      <c r="G53" s="2372">
        <v>0</v>
      </c>
      <c r="H53" s="2372">
        <v>0</v>
      </c>
      <c r="I53" s="2372">
        <v>0</v>
      </c>
      <c r="J53" s="2373">
        <v>0</v>
      </c>
    </row>
    <row r="54" spans="2:10" ht="18.75" customHeight="1" outlineLevel="1" thickBot="1">
      <c r="B54" s="2374" t="s">
        <v>241</v>
      </c>
      <c r="C54" s="2428" t="s">
        <v>242</v>
      </c>
      <c r="D54" s="2376"/>
      <c r="E54" s="2377">
        <v>67523654.480000004</v>
      </c>
      <c r="F54" s="2377">
        <v>177715916</v>
      </c>
      <c r="G54" s="2377">
        <v>196415916</v>
      </c>
      <c r="H54" s="2377">
        <v>196580871</v>
      </c>
      <c r="I54" s="2377">
        <v>196580871</v>
      </c>
      <c r="J54" s="2378">
        <v>167262974</v>
      </c>
    </row>
    <row r="55" spans="2:10" s="432" customFormat="1" ht="15" outlineLevel="1" thickTop="1">
      <c r="B55" s="2357"/>
      <c r="C55" s="2379" t="s">
        <v>90</v>
      </c>
      <c r="D55" s="2380">
        <v>6111</v>
      </c>
      <c r="E55" s="2381">
        <v>0</v>
      </c>
      <c r="F55" s="2381">
        <v>3269880</v>
      </c>
      <c r="G55" s="2381">
        <v>3269880</v>
      </c>
      <c r="H55" s="2381">
        <v>3269880</v>
      </c>
      <c r="I55" s="2381">
        <v>3269880</v>
      </c>
      <c r="J55" s="2382">
        <v>3269880</v>
      </c>
    </row>
    <row r="56" spans="2:10" s="433" customFormat="1" ht="20.25" customHeight="1">
      <c r="B56" s="2415"/>
      <c r="C56" s="2421" t="s">
        <v>105</v>
      </c>
      <c r="D56" s="2422">
        <v>6121</v>
      </c>
      <c r="E56" s="2423">
        <v>51938654.480000004</v>
      </c>
      <c r="F56" s="2423">
        <v>120189200</v>
      </c>
      <c r="G56" s="2423">
        <v>138389200</v>
      </c>
      <c r="H56" s="2423">
        <v>135465099</v>
      </c>
      <c r="I56" s="2423">
        <v>141265099</v>
      </c>
      <c r="J56" s="2424">
        <v>111587202</v>
      </c>
    </row>
    <row r="57" spans="2:10" s="432" customFormat="1" ht="14.65" outlineLevel="1">
      <c r="B57" s="2415"/>
      <c r="C57" s="2421" t="s">
        <v>106</v>
      </c>
      <c r="D57" s="2422">
        <v>6121</v>
      </c>
      <c r="E57" s="2385">
        <v>9560000</v>
      </c>
      <c r="F57" s="2385">
        <v>8492604</v>
      </c>
      <c r="G57" s="2385">
        <v>8992604</v>
      </c>
      <c r="H57" s="2385">
        <v>9081660</v>
      </c>
      <c r="I57" s="2385">
        <v>9081660</v>
      </c>
      <c r="J57" s="2386">
        <v>9291660</v>
      </c>
    </row>
    <row r="58" spans="2:10" ht="14.65" outlineLevel="1">
      <c r="B58" s="2415"/>
      <c r="C58" s="2421" t="s">
        <v>107</v>
      </c>
      <c r="D58" s="2422">
        <v>6122</v>
      </c>
      <c r="E58" s="2423">
        <v>200000</v>
      </c>
      <c r="F58" s="2423">
        <v>570000</v>
      </c>
      <c r="G58" s="2423">
        <v>570000</v>
      </c>
      <c r="H58" s="2423">
        <v>570000</v>
      </c>
      <c r="I58" s="2423">
        <v>570000</v>
      </c>
      <c r="J58" s="2424">
        <v>720000</v>
      </c>
    </row>
    <row r="59" spans="2:10" ht="14.65">
      <c r="B59" s="2357"/>
      <c r="C59" s="2383" t="s">
        <v>108</v>
      </c>
      <c r="D59" s="2384">
        <v>6123</v>
      </c>
      <c r="E59" s="2385">
        <v>0</v>
      </c>
      <c r="F59" s="2385">
        <v>1200000</v>
      </c>
      <c r="G59" s="2385">
        <v>1200000</v>
      </c>
      <c r="H59" s="2385">
        <v>1200000</v>
      </c>
      <c r="I59" s="2385">
        <v>1200000</v>
      </c>
      <c r="J59" s="2386">
        <v>1200000</v>
      </c>
    </row>
    <row r="60" spans="2:10" ht="14.65">
      <c r="B60" s="2357"/>
      <c r="C60" s="2383" t="s">
        <v>109</v>
      </c>
      <c r="D60" s="2384">
        <v>6125</v>
      </c>
      <c r="E60" s="2385">
        <v>240000</v>
      </c>
      <c r="F60" s="2385">
        <v>4736152</v>
      </c>
      <c r="G60" s="2385">
        <v>4736152</v>
      </c>
      <c r="H60" s="2385">
        <v>4736152</v>
      </c>
      <c r="I60" s="2385">
        <v>4736152</v>
      </c>
      <c r="J60" s="2386">
        <v>4736152</v>
      </c>
    </row>
    <row r="61" spans="2:10" ht="14.65">
      <c r="B61" s="2357"/>
      <c r="C61" s="2383" t="s">
        <v>110</v>
      </c>
      <c r="D61" s="2384">
        <v>6129</v>
      </c>
      <c r="E61" s="2385">
        <v>0</v>
      </c>
      <c r="F61" s="2385">
        <v>0</v>
      </c>
      <c r="G61" s="2385">
        <v>0</v>
      </c>
      <c r="H61" s="2385">
        <v>0</v>
      </c>
      <c r="I61" s="2385">
        <v>0</v>
      </c>
      <c r="J61" s="2386">
        <v>0</v>
      </c>
    </row>
    <row r="62" spans="2:10" ht="14.65">
      <c r="B62" s="2357"/>
      <c r="C62" s="2383" t="s">
        <v>111</v>
      </c>
      <c r="D62" s="2384">
        <v>6130</v>
      </c>
      <c r="E62" s="2385">
        <v>2215000</v>
      </c>
      <c r="F62" s="2385">
        <v>5000000</v>
      </c>
      <c r="G62" s="2385">
        <v>5000000</v>
      </c>
      <c r="H62" s="2385">
        <v>6300000</v>
      </c>
      <c r="I62" s="2385">
        <v>6300000</v>
      </c>
      <c r="J62" s="2386">
        <v>6300000</v>
      </c>
    </row>
    <row r="63" spans="2:10" ht="14.65">
      <c r="B63" s="2357"/>
      <c r="C63" s="2383" t="s">
        <v>1141</v>
      </c>
      <c r="D63" s="2384">
        <v>6349</v>
      </c>
      <c r="E63" s="2385">
        <v>0</v>
      </c>
      <c r="F63" s="2385">
        <v>29400000</v>
      </c>
      <c r="G63" s="2385">
        <v>29400000</v>
      </c>
      <c r="H63" s="2385">
        <v>29400000</v>
      </c>
      <c r="I63" s="2385">
        <v>23600000</v>
      </c>
      <c r="J63" s="2386">
        <v>23600000</v>
      </c>
    </row>
    <row r="64" spans="2:10" ht="14.65">
      <c r="B64" s="2357"/>
      <c r="C64" s="2383" t="s">
        <v>295</v>
      </c>
      <c r="D64" s="2384">
        <v>6351</v>
      </c>
      <c r="E64" s="2385">
        <v>3370000</v>
      </c>
      <c r="F64" s="2385">
        <v>4858080</v>
      </c>
      <c r="G64" s="2385">
        <v>4858080</v>
      </c>
      <c r="H64" s="2385">
        <v>6558080</v>
      </c>
      <c r="I64" s="2385">
        <v>6558080</v>
      </c>
      <c r="J64" s="2386">
        <v>6558080</v>
      </c>
    </row>
    <row r="65" spans="2:10" ht="14.65" hidden="1">
      <c r="B65" s="2357" t="s">
        <v>582</v>
      </c>
      <c r="C65" s="2383" t="s">
        <v>295</v>
      </c>
      <c r="D65" s="2384">
        <v>6349</v>
      </c>
      <c r="E65" s="2385">
        <v>0</v>
      </c>
      <c r="F65" s="2385">
        <v>0</v>
      </c>
      <c r="G65" s="2385">
        <v>0</v>
      </c>
      <c r="H65" s="2385">
        <v>0</v>
      </c>
      <c r="I65" s="2385">
        <v>0</v>
      </c>
      <c r="J65" s="2386">
        <v>0</v>
      </c>
    </row>
    <row r="66" spans="2:10" ht="14.65" hidden="1">
      <c r="B66" s="2357"/>
      <c r="C66" s="2370"/>
      <c r="D66" s="2371"/>
      <c r="E66" s="2372"/>
      <c r="F66" s="2372"/>
      <c r="G66" s="2372"/>
      <c r="H66" s="2372"/>
      <c r="I66" s="2372"/>
      <c r="J66" s="2373"/>
    </row>
    <row r="67" spans="2:10" ht="15" thickBot="1">
      <c r="B67" s="2374" t="s">
        <v>232</v>
      </c>
      <c r="C67" s="2428" t="s">
        <v>233</v>
      </c>
      <c r="D67" s="2376"/>
      <c r="E67" s="2377">
        <v>19167929.908239976</v>
      </c>
      <c r="F67" s="2377">
        <v>26992263.001800001</v>
      </c>
      <c r="G67" s="2377">
        <v>27248234.001800001</v>
      </c>
      <c r="H67" s="2377">
        <v>16689560.001800001</v>
      </c>
      <c r="I67" s="2377">
        <v>16689560.001800001</v>
      </c>
      <c r="J67" s="2378">
        <v>38681717.001800001</v>
      </c>
    </row>
    <row r="68" spans="2:10" ht="15" thickTop="1">
      <c r="B68" s="2357"/>
      <c r="C68" s="2379" t="s">
        <v>1522</v>
      </c>
      <c r="D68" s="2380">
        <v>8115</v>
      </c>
      <c r="E68" s="2381">
        <v>53665.908239975572</v>
      </c>
      <c r="F68" s="2381">
        <v>18511296.001800001</v>
      </c>
      <c r="G68" s="2381">
        <v>18767267.001800001</v>
      </c>
      <c r="H68" s="2381">
        <v>8208593.0018000007</v>
      </c>
      <c r="I68" s="2381">
        <v>8208593.0018000007</v>
      </c>
      <c r="J68" s="2382">
        <v>30200750.001800001</v>
      </c>
    </row>
    <row r="69" spans="2:10" ht="14.65" hidden="1">
      <c r="B69" s="2357"/>
      <c r="C69" s="2383" t="s">
        <v>118</v>
      </c>
      <c r="D69" s="2384">
        <v>8115</v>
      </c>
      <c r="E69" s="2385"/>
      <c r="F69" s="2385"/>
      <c r="G69" s="2385"/>
      <c r="H69" s="2385"/>
      <c r="I69" s="2385"/>
      <c r="J69" s="2386"/>
    </row>
    <row r="70" spans="2:10" ht="15" thickBot="1">
      <c r="B70" s="2361"/>
      <c r="C70" s="2354" t="s">
        <v>738</v>
      </c>
      <c r="D70" s="2355" t="s">
        <v>115</v>
      </c>
      <c r="E70" s="2213">
        <v>19114264</v>
      </c>
      <c r="F70" s="2213">
        <v>8480967</v>
      </c>
      <c r="G70" s="2213">
        <v>8480967</v>
      </c>
      <c r="H70" s="2213">
        <v>8480967</v>
      </c>
      <c r="I70" s="2213">
        <v>8480967</v>
      </c>
      <c r="J70" s="2356">
        <v>8480967</v>
      </c>
    </row>
    <row r="71" spans="2:10" ht="15" hidden="1" thickBot="1">
      <c r="B71" s="2357"/>
      <c r="C71" s="2429"/>
      <c r="D71" s="2430"/>
      <c r="E71" s="2431"/>
      <c r="F71" s="2431"/>
      <c r="G71" s="2431"/>
      <c r="H71" s="2431"/>
      <c r="I71" s="2431"/>
      <c r="J71" s="2432"/>
    </row>
    <row r="72" spans="2:10" ht="15" thickBot="1">
      <c r="B72" s="2405" t="s">
        <v>243</v>
      </c>
      <c r="C72" s="2406"/>
      <c r="D72" s="2407"/>
      <c r="E72" s="2408">
        <v>243932554</v>
      </c>
      <c r="F72" s="2408">
        <v>415954204</v>
      </c>
      <c r="G72" s="2408">
        <v>440068727</v>
      </c>
      <c r="H72" s="2408">
        <v>432844418</v>
      </c>
      <c r="I72" s="2408">
        <v>432844418</v>
      </c>
      <c r="J72" s="2409">
        <v>435240978</v>
      </c>
    </row>
    <row r="73" spans="2:10">
      <c r="H73" s="318"/>
      <c r="J73" s="318"/>
    </row>
  </sheetData>
  <sheetProtection algorithmName="SHA-512" hashValue="QxTjEkbARTTW3EN1yKADd79TkexeWbtCKjHGd7nsi8kXKZgEsl5sAx7Aa8sOX1iY9amzs5S0mUaKkcTb5XqdBA==" saltValue="bVDveCtLNdRn1rrQZw0x0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455C-4ADD-413F-A514-2803D718F788}">
  <sheetPr>
    <pageSetUpPr fitToPage="1"/>
  </sheetPr>
  <dimension ref="A1:F31"/>
  <sheetViews>
    <sheetView workbookViewId="0">
      <selection activeCell="I11" sqref="I11"/>
    </sheetView>
  </sheetViews>
  <sheetFormatPr defaultRowHeight="12.75"/>
  <cols>
    <col min="2" max="2" width="28" bestFit="1" customWidth="1"/>
    <col min="3" max="3" width="23.3984375" bestFit="1" customWidth="1"/>
    <col min="4" max="4" width="2.86328125" style="17" customWidth="1"/>
    <col min="5" max="5" width="10.86328125" style="1227" bestFit="1" customWidth="1"/>
    <col min="6" max="6" width="19.3984375" bestFit="1" customWidth="1"/>
  </cols>
  <sheetData>
    <row r="1" spans="1:6" ht="13.15">
      <c r="A1" s="8" t="s">
        <v>2895</v>
      </c>
    </row>
    <row r="3" spans="1:6" ht="13.15">
      <c r="A3" s="8" t="s">
        <v>2896</v>
      </c>
    </row>
    <row r="4" spans="1:6" s="8" customFormat="1" ht="13.15">
      <c r="C4" s="3097"/>
      <c r="D4" s="3099"/>
      <c r="E4" s="3097"/>
    </row>
    <row r="5" spans="1:6" ht="13.15">
      <c r="B5" s="8" t="s">
        <v>222</v>
      </c>
      <c r="C5" s="1227" t="s">
        <v>2897</v>
      </c>
      <c r="E5" s="1227" t="s">
        <v>2898</v>
      </c>
    </row>
    <row r="6" spans="1:6">
      <c r="C6" s="1227"/>
    </row>
    <row r="7" spans="1:6" s="8" customFormat="1" ht="13.15">
      <c r="C7" s="3097"/>
      <c r="D7" s="3099"/>
      <c r="E7" s="3097"/>
    </row>
    <row r="8" spans="1:6" ht="13.15">
      <c r="B8" s="8" t="s">
        <v>227</v>
      </c>
      <c r="C8" s="1227" t="s">
        <v>2901</v>
      </c>
      <c r="D8" s="3100" t="s">
        <v>511</v>
      </c>
      <c r="E8" s="3100" t="s">
        <v>2899</v>
      </c>
      <c r="F8" t="s">
        <v>2900</v>
      </c>
    </row>
    <row r="9" spans="1:6">
      <c r="C9" s="1227"/>
    </row>
    <row r="10" spans="1:6" s="8" customFormat="1" ht="13.15">
      <c r="B10" s="8" t="s">
        <v>2902</v>
      </c>
      <c r="C10" s="3097"/>
      <c r="D10" s="3100" t="s">
        <v>511</v>
      </c>
      <c r="E10" s="3101" t="s">
        <v>2921</v>
      </c>
    </row>
    <row r="11" spans="1:6" s="8" customFormat="1" ht="13.15">
      <c r="C11" s="3097"/>
      <c r="D11" s="3100"/>
      <c r="E11" s="3097"/>
    </row>
    <row r="12" spans="1:6" s="3102" customFormat="1" ht="11.65">
      <c r="C12" s="3103" t="s">
        <v>2903</v>
      </c>
      <c r="D12" s="3104"/>
      <c r="E12" s="3103" t="s">
        <v>2922</v>
      </c>
    </row>
    <row r="13" spans="1:6">
      <c r="C13" s="3107" t="s">
        <v>937</v>
      </c>
      <c r="D13" s="3105"/>
      <c r="E13" s="3107" t="s">
        <v>2904</v>
      </c>
    </row>
    <row r="14" spans="1:6">
      <c r="C14" s="3107" t="s">
        <v>147</v>
      </c>
      <c r="D14" s="3105"/>
      <c r="E14" s="3107" t="s">
        <v>2905</v>
      </c>
    </row>
    <row r="15" spans="1:6">
      <c r="C15" s="3107" t="s">
        <v>145</v>
      </c>
      <c r="D15" s="3105"/>
      <c r="E15" s="3107" t="s">
        <v>2906</v>
      </c>
    </row>
    <row r="16" spans="1:6">
      <c r="C16" s="1227"/>
    </row>
    <row r="17" spans="2:6">
      <c r="C17" s="1919" t="s">
        <v>2907</v>
      </c>
      <c r="D17" s="3106" t="s">
        <v>511</v>
      </c>
      <c r="E17" s="3106" t="s">
        <v>2908</v>
      </c>
      <c r="F17" s="1913"/>
    </row>
    <row r="18" spans="2:6">
      <c r="C18" s="1919" t="s">
        <v>2910</v>
      </c>
      <c r="D18" s="3106" t="s">
        <v>511</v>
      </c>
      <c r="E18" s="3106" t="s">
        <v>2909</v>
      </c>
      <c r="F18" s="1913" t="s">
        <v>2900</v>
      </c>
    </row>
    <row r="19" spans="2:6">
      <c r="C19" s="1227"/>
    </row>
    <row r="20" spans="2:6" s="8" customFormat="1" ht="13.15">
      <c r="B20" s="8" t="s">
        <v>2920</v>
      </c>
      <c r="C20" s="3097"/>
      <c r="D20" s="3099"/>
      <c r="E20" s="3098">
        <v>351208186</v>
      </c>
    </row>
    <row r="21" spans="2:6">
      <c r="C21" s="1227"/>
    </row>
    <row r="22" spans="2:6">
      <c r="C22" s="1227"/>
    </row>
    <row r="23" spans="2:6" s="8" customFormat="1" ht="13.15">
      <c r="B23" s="8" t="s">
        <v>239</v>
      </c>
      <c r="C23" s="3097"/>
      <c r="D23" s="3101" t="s">
        <v>511</v>
      </c>
      <c r="E23" s="3101" t="s">
        <v>2911</v>
      </c>
      <c r="F23" s="8" t="s">
        <v>2900</v>
      </c>
    </row>
    <row r="24" spans="2:6">
      <c r="C24" s="1227"/>
      <c r="E24" s="3100"/>
    </row>
    <row r="25" spans="2:6" s="8" customFormat="1" ht="13.15">
      <c r="B25" s="8" t="s">
        <v>2912</v>
      </c>
      <c r="C25" s="3097"/>
      <c r="D25" s="3101" t="s">
        <v>511</v>
      </c>
      <c r="E25" s="3101" t="s">
        <v>2913</v>
      </c>
    </row>
    <row r="26" spans="2:6">
      <c r="C26" s="1227"/>
      <c r="D26" s="3100"/>
      <c r="E26" s="3100"/>
    </row>
    <row r="27" spans="2:6">
      <c r="C27" s="1919" t="s">
        <v>2704</v>
      </c>
      <c r="D27" s="3106" t="s">
        <v>511</v>
      </c>
      <c r="E27" s="3106" t="s">
        <v>2916</v>
      </c>
      <c r="F27" s="1913" t="s">
        <v>2900</v>
      </c>
    </row>
    <row r="28" spans="2:6">
      <c r="C28" s="1919" t="s">
        <v>2914</v>
      </c>
      <c r="D28" s="3106" t="s">
        <v>511</v>
      </c>
      <c r="E28" s="3106" t="s">
        <v>2917</v>
      </c>
      <c r="F28" s="1913" t="s">
        <v>2900</v>
      </c>
    </row>
    <row r="29" spans="2:6">
      <c r="C29" s="1919" t="s">
        <v>2915</v>
      </c>
      <c r="D29" s="3106" t="s">
        <v>511</v>
      </c>
      <c r="E29" s="3106" t="s">
        <v>2918</v>
      </c>
      <c r="F29" s="1913"/>
    </row>
    <row r="31" spans="2:6" s="8" customFormat="1" ht="13.15">
      <c r="B31" s="8" t="s">
        <v>2919</v>
      </c>
      <c r="D31" s="3099"/>
      <c r="E31" s="3098">
        <v>351208186</v>
      </c>
    </row>
  </sheetData>
  <phoneticPr fontId="8" type="noConversion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K126"/>
  <sheetViews>
    <sheetView topLeftCell="A91" zoomScale="83" zoomScaleNormal="83" workbookViewId="0">
      <selection activeCell="M107" activeCellId="1" sqref="M96:M98 M107"/>
    </sheetView>
  </sheetViews>
  <sheetFormatPr defaultColWidth="9" defaultRowHeight="12" outlineLevelCol="1"/>
  <cols>
    <col min="1" max="1" width="9.265625" style="2158" bestFit="1" customWidth="1"/>
    <col min="2" max="3" width="5.86328125" style="2158" bestFit="1" customWidth="1"/>
    <col min="4" max="4" width="61.73046875" style="2159" customWidth="1"/>
    <col min="5" max="5" width="11" style="2160" hidden="1" customWidth="1" outlineLevel="1"/>
    <col min="6" max="6" width="15.86328125" style="2160" customWidth="1" outlineLevel="1"/>
    <col min="7" max="8" width="15.86328125" style="2160" hidden="1" customWidth="1" outlineLevel="1"/>
    <col min="9" max="9" width="11" style="2160" hidden="1" customWidth="1" outlineLevel="1"/>
    <col min="10" max="10" width="11.265625" style="2160" bestFit="1" customWidth="1" outlineLevel="1"/>
    <col min="11" max="12" width="13.73046875" style="2160" customWidth="1" outlineLevel="1"/>
    <col min="13" max="13" width="12.265625" style="2160" customWidth="1"/>
    <col min="14" max="14" width="15.86328125" style="971" customWidth="1"/>
    <col min="15" max="15" width="23.86328125" style="971" bestFit="1" customWidth="1"/>
    <col min="16" max="16" width="34.265625" style="971" bestFit="1" customWidth="1"/>
    <col min="17" max="17" width="16.265625" style="970" customWidth="1"/>
    <col min="18" max="18" width="21" style="970" bestFit="1" customWidth="1"/>
    <col min="19" max="20" width="16.265625" style="970" customWidth="1"/>
    <col min="21" max="21" width="14.59765625" style="970" customWidth="1"/>
    <col min="22" max="22" width="17.73046875" style="2049" bestFit="1" customWidth="1"/>
    <col min="23" max="23" width="15" style="970" bestFit="1" customWidth="1"/>
    <col min="24" max="24" width="12.86328125" style="2050" customWidth="1"/>
    <col min="25" max="25" width="11.59765625" style="2051" customWidth="1"/>
    <col min="26" max="26" width="10" style="968" bestFit="1" customWidth="1"/>
    <col min="27" max="35" width="9" style="968" customWidth="1"/>
    <col min="36" max="16384" width="9" style="968"/>
  </cols>
  <sheetData>
    <row r="1" spans="1:25" ht="16.5" customHeight="1">
      <c r="A1" s="2048"/>
      <c r="B1" s="2048"/>
      <c r="C1" s="2048"/>
      <c r="D1" s="2048"/>
      <c r="E1" s="2048"/>
      <c r="F1" s="2048"/>
      <c r="G1" s="2048"/>
      <c r="H1" s="2048"/>
      <c r="I1" s="2048"/>
      <c r="J1" s="2048"/>
      <c r="K1" s="2048"/>
      <c r="L1" s="2048"/>
      <c r="M1" s="2048"/>
    </row>
    <row r="2" spans="1:25" s="967" customFormat="1">
      <c r="A2" s="2052" t="s">
        <v>2347</v>
      </c>
      <c r="B2" s="2053"/>
      <c r="C2" s="2053"/>
      <c r="D2" s="2054"/>
      <c r="E2" s="2055"/>
      <c r="F2" s="2055"/>
      <c r="G2" s="2055"/>
      <c r="H2" s="2055"/>
      <c r="I2" s="2055"/>
      <c r="J2" s="2055"/>
      <c r="K2" s="2055"/>
      <c r="L2" s="2055"/>
      <c r="M2" s="2055"/>
      <c r="N2" s="2056"/>
      <c r="O2" s="2056"/>
      <c r="P2" s="2056"/>
      <c r="Q2" s="2057"/>
      <c r="R2" s="2057"/>
      <c r="S2" s="2057"/>
      <c r="T2" s="2057"/>
      <c r="U2" s="2057"/>
      <c r="V2" s="2058"/>
      <c r="W2" s="2057"/>
      <c r="X2" s="2059"/>
      <c r="Y2" s="2060"/>
    </row>
    <row r="3" spans="1:25">
      <c r="A3" s="2061" t="s">
        <v>739</v>
      </c>
      <c r="B3" s="2062"/>
      <c r="C3" s="2062"/>
      <c r="D3" s="2063"/>
      <c r="E3" s="2064"/>
      <c r="F3" s="2064"/>
      <c r="G3" s="2064"/>
      <c r="H3" s="2064"/>
      <c r="I3" s="2064"/>
      <c r="J3" s="2064"/>
      <c r="K3" s="2064"/>
      <c r="L3" s="2064"/>
      <c r="M3" s="2064"/>
    </row>
    <row r="4" spans="1:25" ht="15" customHeight="1" thickBot="1">
      <c r="A4" s="2062"/>
      <c r="B4" s="2062"/>
      <c r="C4" s="2062"/>
      <c r="D4" s="2065"/>
      <c r="E4" s="2066"/>
      <c r="F4" s="2066"/>
      <c r="G4" s="2066"/>
      <c r="H4" s="2066"/>
      <c r="I4" s="2066"/>
      <c r="J4" s="2066"/>
      <c r="K4" s="2066"/>
      <c r="L4" s="2066"/>
      <c r="M4" s="2066"/>
      <c r="Q4" s="2051"/>
      <c r="R4" s="2051"/>
      <c r="S4" s="2067"/>
      <c r="T4" s="2067" t="s">
        <v>684</v>
      </c>
      <c r="U4" s="2067"/>
      <c r="V4" s="2068" t="s">
        <v>708</v>
      </c>
    </row>
    <row r="5" spans="1:25" s="969" customFormat="1" ht="35.25" customHeight="1" thickBot="1">
      <c r="A5" s="3161" t="s">
        <v>0</v>
      </c>
      <c r="B5" s="3162"/>
      <c r="C5" s="3162"/>
      <c r="D5" s="3163"/>
      <c r="E5" s="2069" t="s">
        <v>2107</v>
      </c>
      <c r="F5" s="2069" t="s">
        <v>2346</v>
      </c>
      <c r="G5" s="2069" t="s">
        <v>1934</v>
      </c>
      <c r="H5" s="2069" t="s">
        <v>2644</v>
      </c>
      <c r="I5" s="2069" t="s">
        <v>2766</v>
      </c>
      <c r="J5" s="2069" t="s">
        <v>2107</v>
      </c>
      <c r="K5" s="2069" t="s">
        <v>2830</v>
      </c>
      <c r="L5" s="2069" t="s">
        <v>2855</v>
      </c>
      <c r="M5" s="2069" t="s">
        <v>2923</v>
      </c>
      <c r="N5" s="958"/>
      <c r="O5" s="958" t="s">
        <v>2570</v>
      </c>
      <c r="P5" s="3003"/>
      <c r="Q5" s="2070" t="s">
        <v>356</v>
      </c>
      <c r="R5" s="2071">
        <v>2015</v>
      </c>
      <c r="S5" s="2071">
        <v>2016</v>
      </c>
      <c r="T5" s="2071">
        <v>2017</v>
      </c>
      <c r="U5" s="2071">
        <v>2018</v>
      </c>
      <c r="V5" s="2071">
        <v>2019</v>
      </c>
      <c r="W5" s="2072"/>
      <c r="X5" s="959"/>
      <c r="Y5" s="2071" t="s">
        <v>701</v>
      </c>
    </row>
    <row r="6" spans="1:25" s="969" customFormat="1" ht="20.25" customHeight="1" thickBot="1">
      <c r="A6" s="2073" t="s">
        <v>8</v>
      </c>
      <c r="B6" s="2074" t="s">
        <v>9</v>
      </c>
      <c r="C6" s="2074" t="s">
        <v>10</v>
      </c>
      <c r="D6" s="2075" t="s">
        <v>11</v>
      </c>
      <c r="E6" s="2076"/>
      <c r="F6" s="2076"/>
      <c r="G6" s="2076"/>
      <c r="H6" s="2076"/>
      <c r="I6" s="2076"/>
      <c r="J6" s="2076"/>
      <c r="K6" s="2076"/>
      <c r="L6" s="2076"/>
      <c r="M6" s="2076"/>
      <c r="N6" s="958"/>
      <c r="O6" s="2077">
        <f>SUM(O7:O13)</f>
        <v>153389205</v>
      </c>
      <c r="P6" s="3003" t="s">
        <v>2642</v>
      </c>
      <c r="Q6" s="2071"/>
      <c r="R6" s="2071">
        <v>2015</v>
      </c>
      <c r="S6" s="2071"/>
      <c r="T6" s="2071"/>
      <c r="U6" s="2071"/>
      <c r="V6" s="2078"/>
      <c r="W6" s="2072"/>
      <c r="X6" s="959"/>
      <c r="Y6" s="2071"/>
    </row>
    <row r="7" spans="1:25" s="969" customFormat="1" ht="15" customHeight="1">
      <c r="A7" s="2079" t="s">
        <v>12</v>
      </c>
      <c r="B7" s="2079"/>
      <c r="C7" s="2079">
        <v>1111</v>
      </c>
      <c r="D7" s="2080" t="s">
        <v>1142</v>
      </c>
      <c r="E7" s="2081">
        <v>24855312</v>
      </c>
      <c r="F7" s="2081">
        <v>27863123</v>
      </c>
      <c r="G7" s="2081">
        <v>27863123</v>
      </c>
      <c r="H7" s="2081">
        <v>27863123</v>
      </c>
      <c r="I7" s="2081">
        <v>27863123</v>
      </c>
      <c r="J7" s="2081">
        <v>27863123</v>
      </c>
      <c r="K7" s="2081">
        <v>27863123</v>
      </c>
      <c r="L7" s="2081">
        <v>34642124</v>
      </c>
      <c r="M7" s="2081">
        <v>27500000</v>
      </c>
      <c r="N7" s="2082"/>
      <c r="O7" s="2083">
        <v>27863123</v>
      </c>
      <c r="P7" s="3004">
        <v>1875348</v>
      </c>
      <c r="Q7" s="2084">
        <f>+N7*0.25</f>
        <v>0</v>
      </c>
      <c r="R7" s="2071">
        <v>2015</v>
      </c>
      <c r="S7" s="2084">
        <v>16931490</v>
      </c>
      <c r="T7" s="2084">
        <v>12106810</v>
      </c>
      <c r="U7" s="2084"/>
      <c r="V7" s="2078">
        <f>28251021-V8</f>
        <v>26151021</v>
      </c>
      <c r="W7" s="2072"/>
      <c r="X7" s="2050">
        <f>T7/8*12</f>
        <v>18160215</v>
      </c>
      <c r="Y7" s="2084"/>
    </row>
    <row r="8" spans="1:25" s="969" customFormat="1">
      <c r="A8" s="2085" t="s">
        <v>12</v>
      </c>
      <c r="B8" s="2085"/>
      <c r="C8" s="2085">
        <v>1112</v>
      </c>
      <c r="D8" s="2086" t="s">
        <v>1144</v>
      </c>
      <c r="E8" s="2081">
        <v>1716548</v>
      </c>
      <c r="F8" s="2081">
        <v>2369138</v>
      </c>
      <c r="G8" s="2081">
        <v>2369138</v>
      </c>
      <c r="H8" s="2081">
        <v>2369138</v>
      </c>
      <c r="I8" s="2081">
        <v>2369138</v>
      </c>
      <c r="J8" s="2081">
        <v>2369138</v>
      </c>
      <c r="K8" s="2081">
        <v>2369138</v>
      </c>
      <c r="L8" s="2081">
        <v>3257880</v>
      </c>
      <c r="M8" s="2081">
        <v>2700000</v>
      </c>
      <c r="N8" s="2082"/>
      <c r="O8" s="2087">
        <v>2369138</v>
      </c>
      <c r="P8" s="2077"/>
      <c r="Q8" s="2084">
        <v>1538371.35</v>
      </c>
      <c r="R8" s="2071">
        <v>2015</v>
      </c>
      <c r="S8" s="2084">
        <v>2184110</v>
      </c>
      <c r="T8" s="2084">
        <v>317580</v>
      </c>
      <c r="U8" s="2084"/>
      <c r="V8" s="2078">
        <v>2100000</v>
      </c>
      <c r="W8" s="2072"/>
      <c r="X8" s="2050">
        <f>+S8</f>
        <v>2184110</v>
      </c>
      <c r="Y8" s="2084"/>
    </row>
    <row r="9" spans="1:25" s="969" customFormat="1" ht="15.75" customHeight="1">
      <c r="A9" s="2085" t="s">
        <v>12</v>
      </c>
      <c r="B9" s="2085"/>
      <c r="C9" s="2085">
        <v>1113</v>
      </c>
      <c r="D9" s="2086" t="s">
        <v>1143</v>
      </c>
      <c r="E9" s="2081">
        <v>4953190</v>
      </c>
      <c r="F9" s="2081">
        <v>4995791</v>
      </c>
      <c r="G9" s="2081">
        <v>4995791</v>
      </c>
      <c r="H9" s="2081">
        <v>4995791</v>
      </c>
      <c r="I9" s="2081">
        <v>4995791</v>
      </c>
      <c r="J9" s="2081">
        <v>4995791</v>
      </c>
      <c r="K9" s="2081">
        <v>4995791</v>
      </c>
      <c r="L9" s="2081">
        <v>5755588</v>
      </c>
      <c r="M9" s="2081">
        <v>5460000</v>
      </c>
      <c r="N9" s="2082"/>
      <c r="O9" s="2087">
        <v>4995791</v>
      </c>
      <c r="P9" s="2077"/>
      <c r="Q9" s="2084"/>
      <c r="R9" s="2071">
        <v>2015</v>
      </c>
      <c r="S9" s="2084">
        <v>1204780</v>
      </c>
      <c r="T9" s="2084">
        <v>996290</v>
      </c>
      <c r="U9" s="2084"/>
      <c r="V9" s="2078"/>
      <c r="W9" s="2072"/>
      <c r="X9" s="2050">
        <f>T9/8*12</f>
        <v>1494435</v>
      </c>
      <c r="Y9" s="2084"/>
    </row>
    <row r="10" spans="1:25" s="969" customFormat="1" ht="15.75" customHeight="1">
      <c r="A10" s="2085" t="s">
        <v>12</v>
      </c>
      <c r="B10" s="2085"/>
      <c r="C10" s="2085">
        <v>1111</v>
      </c>
      <c r="D10" s="2086" t="s">
        <v>2976</v>
      </c>
      <c r="E10" s="2081">
        <v>771800</v>
      </c>
      <c r="F10" s="2081">
        <v>1094834</v>
      </c>
      <c r="G10" s="2081">
        <v>1094834</v>
      </c>
      <c r="H10" s="2081">
        <v>1094834</v>
      </c>
      <c r="I10" s="2081">
        <v>1094834</v>
      </c>
      <c r="J10" s="2081">
        <v>1094834</v>
      </c>
      <c r="K10" s="2081">
        <v>1094834</v>
      </c>
      <c r="L10" s="2081">
        <v>1159247</v>
      </c>
      <c r="M10" s="2081">
        <v>1200000</v>
      </c>
      <c r="N10" s="2082"/>
      <c r="O10" s="2087">
        <v>1094834</v>
      </c>
      <c r="P10" s="2077"/>
      <c r="Q10" s="2084"/>
      <c r="R10" s="2071">
        <v>2015</v>
      </c>
      <c r="S10" s="2084"/>
      <c r="T10" s="2084"/>
      <c r="U10" s="2084"/>
      <c r="V10" s="2078"/>
      <c r="W10" s="2072"/>
      <c r="X10" s="2050"/>
      <c r="Y10" s="2084"/>
    </row>
    <row r="11" spans="1:25" s="969" customFormat="1" ht="15.75" customHeight="1">
      <c r="A11" s="2085"/>
      <c r="B11" s="2085"/>
      <c r="C11" s="2085">
        <v>1122</v>
      </c>
      <c r="D11" s="2086" t="s">
        <v>2329</v>
      </c>
      <c r="E11" s="2081">
        <v>2118860</v>
      </c>
      <c r="F11" s="2081"/>
      <c r="G11" s="2081"/>
      <c r="H11" s="2081"/>
      <c r="I11" s="2081"/>
      <c r="J11" s="2081"/>
      <c r="K11" s="2081"/>
      <c r="L11" s="2081">
        <v>936000</v>
      </c>
      <c r="M11" s="2081">
        <v>936000</v>
      </c>
      <c r="N11" s="2082"/>
      <c r="O11" s="2087"/>
      <c r="P11" s="2077"/>
      <c r="Q11" s="2084"/>
      <c r="R11" s="2071"/>
      <c r="S11" s="2084"/>
      <c r="T11" s="2084"/>
      <c r="U11" s="2084"/>
      <c r="V11" s="2078"/>
      <c r="W11" s="2072"/>
      <c r="X11" s="2050"/>
      <c r="Y11" s="2084"/>
    </row>
    <row r="12" spans="1:25" s="969" customFormat="1" ht="15.75" customHeight="1">
      <c r="A12" s="2085" t="s">
        <v>12</v>
      </c>
      <c r="B12" s="2085"/>
      <c r="C12" s="2085">
        <v>1121</v>
      </c>
      <c r="D12" s="2086" t="s">
        <v>15</v>
      </c>
      <c r="E12" s="2081">
        <v>35922921</v>
      </c>
      <c r="F12" s="2081">
        <v>39502801</v>
      </c>
      <c r="G12" s="2081">
        <v>39502801</v>
      </c>
      <c r="H12" s="2081">
        <v>39502801</v>
      </c>
      <c r="I12" s="2081">
        <v>39502801</v>
      </c>
      <c r="J12" s="2081">
        <v>39502801</v>
      </c>
      <c r="K12" s="2081">
        <v>39502801</v>
      </c>
      <c r="L12" s="2081">
        <v>48502801</v>
      </c>
      <c r="M12" s="2081">
        <v>41300000</v>
      </c>
      <c r="N12" s="2082"/>
      <c r="O12" s="2087">
        <v>39502801</v>
      </c>
      <c r="P12" s="2077"/>
      <c r="Q12" s="2084">
        <v>15829709.810000001</v>
      </c>
      <c r="R12" s="2071">
        <v>2015</v>
      </c>
      <c r="S12" s="2084">
        <v>19090960</v>
      </c>
      <c r="T12" s="2084">
        <v>12313840</v>
      </c>
      <c r="U12" s="2084"/>
      <c r="V12" s="2078">
        <v>20479158</v>
      </c>
      <c r="W12" s="2072"/>
      <c r="X12" s="2050">
        <f>T12/8*12</f>
        <v>18470760</v>
      </c>
      <c r="Y12" s="2084"/>
    </row>
    <row r="13" spans="1:25" s="969" customFormat="1">
      <c r="A13" s="2085" t="s">
        <v>12</v>
      </c>
      <c r="B13" s="2085"/>
      <c r="C13" s="2085">
        <v>1211</v>
      </c>
      <c r="D13" s="2086" t="s">
        <v>16</v>
      </c>
      <c r="E13" s="2081">
        <v>80505412</v>
      </c>
      <c r="F13" s="2081">
        <v>77563518</v>
      </c>
      <c r="G13" s="2081">
        <v>77563518</v>
      </c>
      <c r="H13" s="2081">
        <v>77563518</v>
      </c>
      <c r="I13" s="2081">
        <v>77563518</v>
      </c>
      <c r="J13" s="2081">
        <v>77563518</v>
      </c>
      <c r="K13" s="2081">
        <v>77563518</v>
      </c>
      <c r="L13" s="2081">
        <v>91600726</v>
      </c>
      <c r="M13" s="2081">
        <v>77200000</v>
      </c>
      <c r="N13" s="2082"/>
      <c r="O13" s="2087">
        <v>77563518</v>
      </c>
      <c r="P13" s="2077"/>
      <c r="Q13" s="2084"/>
      <c r="R13" s="2071">
        <v>2015</v>
      </c>
      <c r="S13" s="2084">
        <v>32871040</v>
      </c>
      <c r="T13" s="2084">
        <v>24837780</v>
      </c>
      <c r="U13" s="2084"/>
      <c r="V13" s="2078">
        <v>49121667</v>
      </c>
      <c r="W13" s="2072"/>
      <c r="X13" s="2050">
        <f>T13/8*12</f>
        <v>37256670</v>
      </c>
      <c r="Y13" s="2084"/>
    </row>
    <row r="14" spans="1:25" s="969" customFormat="1" ht="15" customHeight="1">
      <c r="A14" s="2088"/>
      <c r="B14" s="2089"/>
      <c r="C14" s="2089" t="s">
        <v>17</v>
      </c>
      <c r="D14" s="2090" t="s">
        <v>18</v>
      </c>
      <c r="E14" s="2091">
        <v>26000</v>
      </c>
      <c r="F14" s="2091">
        <v>26000</v>
      </c>
      <c r="G14" s="2091">
        <v>26000</v>
      </c>
      <c r="H14" s="2091">
        <v>26000</v>
      </c>
      <c r="I14" s="2091">
        <v>26000</v>
      </c>
      <c r="J14" s="2091">
        <v>26000</v>
      </c>
      <c r="K14" s="2091">
        <v>26000</v>
      </c>
      <c r="L14" s="2091">
        <v>86000</v>
      </c>
      <c r="M14" s="3081">
        <v>89000</v>
      </c>
      <c r="N14" s="958"/>
      <c r="O14" s="958"/>
      <c r="P14" s="958"/>
      <c r="Q14" s="2078">
        <f>SUM(Q7:Q13)</f>
        <v>17368081.16</v>
      </c>
      <c r="R14" s="2071">
        <v>2015</v>
      </c>
      <c r="S14" s="2078">
        <f>SUM(S7:S13)</f>
        <v>72282380</v>
      </c>
      <c r="T14" s="2078">
        <f>SUM(T7:T13)</f>
        <v>50572300</v>
      </c>
      <c r="U14" s="2078">
        <f>SUM(U7:U13)</f>
        <v>0</v>
      </c>
      <c r="V14" s="2078">
        <f>SUM(V7:V13)</f>
        <v>97851846</v>
      </c>
      <c r="W14" s="2092"/>
      <c r="X14" s="959">
        <f>SUM(X7:X13)</f>
        <v>77566190</v>
      </c>
      <c r="Y14" s="2084">
        <f>SUM(Y7:Y13)</f>
        <v>0</v>
      </c>
    </row>
    <row r="15" spans="1:25" s="2072" customFormat="1">
      <c r="A15" s="2093" t="s">
        <v>12</v>
      </c>
      <c r="B15" s="2094"/>
      <c r="C15" s="2094" t="s">
        <v>19</v>
      </c>
      <c r="D15" s="2095" t="s">
        <v>20</v>
      </c>
      <c r="E15" s="2096">
        <v>7326528</v>
      </c>
      <c r="F15" s="2096">
        <v>7924224</v>
      </c>
      <c r="G15" s="2096">
        <v>7924224</v>
      </c>
      <c r="H15" s="2096">
        <v>7924224</v>
      </c>
      <c r="I15" s="2096">
        <v>7924224</v>
      </c>
      <c r="J15" s="2096">
        <v>7924224</v>
      </c>
      <c r="K15" s="2096">
        <v>7924224</v>
      </c>
      <c r="L15" s="2096">
        <v>7924224</v>
      </c>
      <c r="M15" s="2096">
        <v>7559000</v>
      </c>
      <c r="N15" s="958"/>
      <c r="O15" s="958">
        <f>(1056)*(7504)</f>
        <v>7924224</v>
      </c>
      <c r="P15" s="958"/>
      <c r="Q15" s="958">
        <v>6884</v>
      </c>
      <c r="R15" s="2072">
        <v>2015</v>
      </c>
      <c r="S15" s="2049"/>
      <c r="T15" s="2049"/>
      <c r="U15" s="2049"/>
      <c r="V15" s="957" t="e">
        <f>+#REF!-V14</f>
        <v>#REF!</v>
      </c>
      <c r="X15" s="971">
        <f>X14/V14</f>
        <v>0.79269010418055885</v>
      </c>
      <c r="Y15" s="2049"/>
    </row>
    <row r="16" spans="1:25" s="969" customFormat="1" ht="15" customHeight="1">
      <c r="A16" s="2088" t="s">
        <v>12</v>
      </c>
      <c r="B16" s="2089"/>
      <c r="C16" s="2089">
        <v>1341</v>
      </c>
      <c r="D16" s="2090" t="s">
        <v>21</v>
      </c>
      <c r="E16" s="2091">
        <v>260000</v>
      </c>
      <c r="F16" s="2091">
        <v>260000</v>
      </c>
      <c r="G16" s="2091">
        <v>260000</v>
      </c>
      <c r="H16" s="2091">
        <v>260000</v>
      </c>
      <c r="I16" s="2091">
        <v>260000</v>
      </c>
      <c r="J16" s="2091">
        <v>260000</v>
      </c>
      <c r="K16" s="2091">
        <v>260000</v>
      </c>
      <c r="L16" s="2091">
        <v>260000</v>
      </c>
      <c r="M16" s="2091">
        <v>389000</v>
      </c>
      <c r="N16" s="958"/>
      <c r="O16" s="958"/>
      <c r="P16" s="958"/>
      <c r="Q16" s="2072"/>
      <c r="R16" s="2072"/>
      <c r="S16" s="2072"/>
      <c r="T16" s="2072"/>
      <c r="U16" s="2072"/>
      <c r="V16" s="957"/>
      <c r="W16" s="2072"/>
      <c r="X16" s="959"/>
      <c r="Y16" s="2071"/>
    </row>
    <row r="17" spans="1:25" s="969" customFormat="1" ht="15" customHeight="1">
      <c r="A17" s="2088"/>
      <c r="B17" s="2089"/>
      <c r="C17" s="2089">
        <v>1342</v>
      </c>
      <c r="D17" s="2090" t="s">
        <v>2949</v>
      </c>
      <c r="E17" s="2091"/>
      <c r="F17" s="2091"/>
      <c r="G17" s="2091"/>
      <c r="H17" s="2091"/>
      <c r="I17" s="2091"/>
      <c r="J17" s="2091"/>
      <c r="K17" s="2091"/>
      <c r="L17" s="2091"/>
      <c r="M17" s="2091">
        <v>6400</v>
      </c>
      <c r="N17" s="958"/>
      <c r="O17" s="958"/>
      <c r="P17" s="958"/>
      <c r="Q17" s="2072"/>
      <c r="R17" s="2072"/>
      <c r="S17" s="2072"/>
      <c r="T17" s="2072"/>
      <c r="U17" s="2072"/>
      <c r="V17" s="957"/>
      <c r="W17" s="2072"/>
      <c r="X17" s="959"/>
      <c r="Y17" s="2071"/>
    </row>
    <row r="18" spans="1:25" s="969" customFormat="1" ht="15" customHeight="1">
      <c r="A18" s="2088" t="s">
        <v>12</v>
      </c>
      <c r="B18" s="2089"/>
      <c r="C18" s="2089">
        <v>1343</v>
      </c>
      <c r="D18" s="2090" t="s">
        <v>22</v>
      </c>
      <c r="E18" s="2091">
        <v>75000</v>
      </c>
      <c r="F18" s="2091">
        <v>75000</v>
      </c>
      <c r="G18" s="2091">
        <v>75000</v>
      </c>
      <c r="H18" s="2091">
        <v>75000</v>
      </c>
      <c r="I18" s="2091">
        <v>75000</v>
      </c>
      <c r="J18" s="2091">
        <v>75000</v>
      </c>
      <c r="K18" s="2091">
        <v>75000</v>
      </c>
      <c r="L18" s="2091">
        <v>75000</v>
      </c>
      <c r="M18" s="2091">
        <v>92500</v>
      </c>
      <c r="N18" s="958"/>
      <c r="O18" s="958"/>
      <c r="P18" s="958"/>
      <c r="Q18" s="2072"/>
      <c r="R18" s="2072"/>
      <c r="S18" s="2072"/>
      <c r="T18" s="2072"/>
      <c r="U18" s="2072"/>
      <c r="V18" s="957"/>
      <c r="W18" s="2072"/>
      <c r="X18" s="959"/>
      <c r="Y18" s="2071"/>
    </row>
    <row r="19" spans="1:25" s="969" customFormat="1" ht="15" customHeight="1">
      <c r="A19" s="2088" t="s">
        <v>12</v>
      </c>
      <c r="B19" s="2089"/>
      <c r="C19" s="2089">
        <v>1344</v>
      </c>
      <c r="D19" s="2090" t="s">
        <v>23</v>
      </c>
      <c r="E19" s="2091">
        <v>3000</v>
      </c>
      <c r="F19" s="2091">
        <v>3000</v>
      </c>
      <c r="G19" s="2091">
        <v>3000</v>
      </c>
      <c r="H19" s="2091">
        <v>3000</v>
      </c>
      <c r="I19" s="2091">
        <v>3000</v>
      </c>
      <c r="J19" s="2091">
        <v>3000</v>
      </c>
      <c r="K19" s="2091">
        <v>3000</v>
      </c>
      <c r="L19" s="2091">
        <v>3000</v>
      </c>
      <c r="M19" s="2091">
        <v>0</v>
      </c>
      <c r="N19" s="958"/>
      <c r="O19" s="958"/>
      <c r="P19" s="958"/>
      <c r="Q19" s="2072"/>
      <c r="R19" s="2072"/>
      <c r="S19" s="2072"/>
      <c r="T19" s="2072"/>
      <c r="U19" s="2072"/>
      <c r="V19" s="957"/>
      <c r="W19" s="2072"/>
      <c r="X19" s="959"/>
      <c r="Y19" s="2071"/>
    </row>
    <row r="20" spans="1:25" s="969" customFormat="1" ht="15" customHeight="1">
      <c r="A20" s="2088" t="s">
        <v>12</v>
      </c>
      <c r="B20" s="2089"/>
      <c r="C20" s="2089">
        <v>1345</v>
      </c>
      <c r="D20" s="2090" t="s">
        <v>24</v>
      </c>
      <c r="E20" s="2091">
        <v>20000</v>
      </c>
      <c r="F20" s="2091">
        <v>20000</v>
      </c>
      <c r="G20" s="2091">
        <v>20000</v>
      </c>
      <c r="H20" s="2091">
        <v>20000</v>
      </c>
      <c r="I20" s="2091">
        <v>20000</v>
      </c>
      <c r="J20" s="2091">
        <v>20000</v>
      </c>
      <c r="K20" s="2091">
        <v>20000</v>
      </c>
      <c r="L20" s="2091">
        <v>20000</v>
      </c>
      <c r="M20" s="2091">
        <v>0</v>
      </c>
      <c r="N20" s="958"/>
      <c r="O20" s="958"/>
      <c r="P20" s="958"/>
      <c r="Q20" s="2072"/>
      <c r="R20" s="2072"/>
      <c r="S20" s="2072"/>
      <c r="T20" s="2072"/>
      <c r="U20" s="2072"/>
      <c r="V20" s="957"/>
      <c r="W20" s="2072"/>
      <c r="X20" s="959"/>
      <c r="Y20" s="2071"/>
    </row>
    <row r="21" spans="1:25" s="969" customFormat="1" ht="15" customHeight="1">
      <c r="A21" s="2088" t="s">
        <v>12</v>
      </c>
      <c r="B21" s="2089"/>
      <c r="C21" s="2089">
        <v>1347</v>
      </c>
      <c r="D21" s="2090" t="s">
        <v>2977</v>
      </c>
      <c r="E21" s="2091">
        <v>0</v>
      </c>
      <c r="F21" s="2091">
        <v>0</v>
      </c>
      <c r="G21" s="2091">
        <v>0</v>
      </c>
      <c r="H21" s="2091">
        <v>0</v>
      </c>
      <c r="I21" s="2091">
        <v>0</v>
      </c>
      <c r="J21" s="2091">
        <v>0</v>
      </c>
      <c r="K21" s="2091">
        <v>0</v>
      </c>
      <c r="L21" s="2091">
        <v>0</v>
      </c>
      <c r="M21" s="2091">
        <v>0</v>
      </c>
      <c r="N21" s="958"/>
      <c r="O21" s="958"/>
      <c r="P21" s="958"/>
      <c r="Q21" s="2072"/>
      <c r="R21" s="2072"/>
      <c r="S21" s="2072"/>
      <c r="T21" s="2072"/>
      <c r="U21" s="2072"/>
      <c r="V21" s="957"/>
      <c r="W21" s="2072"/>
      <c r="X21" s="959"/>
      <c r="Y21" s="2071"/>
    </row>
    <row r="22" spans="1:25" s="969" customFormat="1" ht="15" customHeight="1">
      <c r="A22" s="2088" t="s">
        <v>12</v>
      </c>
      <c r="B22" s="2097"/>
      <c r="C22" s="2097" t="s">
        <v>26</v>
      </c>
      <c r="D22" s="2098" t="s">
        <v>27</v>
      </c>
      <c r="E22" s="2091">
        <v>2500000</v>
      </c>
      <c r="F22" s="2091">
        <v>2520000</v>
      </c>
      <c r="G22" s="2091">
        <v>2520000</v>
      </c>
      <c r="H22" s="2091">
        <v>2520000</v>
      </c>
      <c r="I22" s="2091">
        <v>2520000</v>
      </c>
      <c r="J22" s="2091">
        <v>2520000</v>
      </c>
      <c r="K22" s="2091">
        <v>2520000</v>
      </c>
      <c r="L22" s="2091">
        <v>2520000</v>
      </c>
      <c r="M22" s="2091">
        <v>4120000</v>
      </c>
      <c r="N22" s="971">
        <v>2520000</v>
      </c>
      <c r="O22" s="956" t="s">
        <v>1428</v>
      </c>
      <c r="P22" s="956"/>
      <c r="Q22" s="2068" t="s">
        <v>727</v>
      </c>
      <c r="R22" s="2068" t="s">
        <v>715</v>
      </c>
      <c r="S22" s="2072"/>
      <c r="T22" s="2072"/>
      <c r="U22" s="2072"/>
      <c r="V22" s="957"/>
      <c r="W22" s="958"/>
      <c r="X22" s="959"/>
      <c r="Y22" s="959"/>
    </row>
    <row r="23" spans="1:25" s="969" customFormat="1">
      <c r="A23" s="2088" t="s">
        <v>12</v>
      </c>
      <c r="B23" s="2097"/>
      <c r="C23" s="2097" t="s">
        <v>26</v>
      </c>
      <c r="D23" s="2098" t="s">
        <v>480</v>
      </c>
      <c r="E23" s="2091">
        <v>5000000</v>
      </c>
      <c r="F23" s="2091"/>
      <c r="G23" s="2091">
        <v>13080000</v>
      </c>
      <c r="H23" s="2091">
        <v>13080000</v>
      </c>
      <c r="I23" s="2091">
        <v>13080000</v>
      </c>
      <c r="J23" s="2091">
        <v>13080000</v>
      </c>
      <c r="K23" s="2091">
        <v>13080000</v>
      </c>
      <c r="L23" s="2091">
        <v>13050000</v>
      </c>
      <c r="M23" s="3081">
        <v>13050000</v>
      </c>
      <c r="N23" s="971"/>
      <c r="O23" s="971" t="s">
        <v>2162</v>
      </c>
      <c r="P23" s="971" t="s">
        <v>2302</v>
      </c>
      <c r="Q23" s="2049" t="s">
        <v>2295</v>
      </c>
      <c r="R23" s="2049" t="s">
        <v>2315</v>
      </c>
      <c r="S23" s="2049"/>
      <c r="T23" s="2049"/>
      <c r="U23" s="2049"/>
      <c r="V23" s="957"/>
      <c r="W23" s="2072"/>
      <c r="X23" s="2050"/>
      <c r="Y23" s="2084"/>
    </row>
    <row r="24" spans="1:25" s="969" customFormat="1" ht="15" customHeight="1">
      <c r="A24" s="2088" t="s">
        <v>12</v>
      </c>
      <c r="B24" s="2089"/>
      <c r="C24" s="2089">
        <v>1386</v>
      </c>
      <c r="D24" s="2090" t="s">
        <v>2872</v>
      </c>
      <c r="E24" s="2091">
        <v>3100000</v>
      </c>
      <c r="F24" s="2091">
        <v>0</v>
      </c>
      <c r="G24" s="2091">
        <v>0</v>
      </c>
      <c r="H24" s="2091">
        <v>0</v>
      </c>
      <c r="I24" s="2091">
        <v>0</v>
      </c>
      <c r="J24" s="2091">
        <v>0</v>
      </c>
      <c r="K24" s="2091">
        <v>0</v>
      </c>
      <c r="L24" s="2091">
        <v>1141000</v>
      </c>
      <c r="M24" s="3081">
        <v>1504000</v>
      </c>
      <c r="N24" s="956"/>
      <c r="O24" s="956"/>
      <c r="P24" s="956"/>
      <c r="Q24" s="2084"/>
      <c r="R24" s="2084"/>
      <c r="S24" s="2049"/>
      <c r="T24" s="2049"/>
      <c r="U24" s="2049"/>
      <c r="V24" s="957"/>
      <c r="W24" s="958"/>
      <c r="X24" s="959"/>
      <c r="Y24" s="959"/>
    </row>
    <row r="25" spans="1:25" s="969" customFormat="1" ht="15" customHeight="1">
      <c r="A25" s="2088" t="s">
        <v>12</v>
      </c>
      <c r="B25" s="2089"/>
      <c r="C25" s="2089">
        <v>1387</v>
      </c>
      <c r="D25" s="2090" t="s">
        <v>2873</v>
      </c>
      <c r="E25" s="2091">
        <v>1000000</v>
      </c>
      <c r="F25" s="2091">
        <v>0</v>
      </c>
      <c r="G25" s="2091">
        <v>0</v>
      </c>
      <c r="H25" s="2091">
        <v>0</v>
      </c>
      <c r="I25" s="2091">
        <v>0</v>
      </c>
      <c r="J25" s="2091">
        <v>0</v>
      </c>
      <c r="K25" s="2091">
        <v>0</v>
      </c>
      <c r="L25" s="2091">
        <v>451000</v>
      </c>
      <c r="M25" s="3081">
        <v>590000</v>
      </c>
      <c r="N25" s="960"/>
      <c r="O25" s="960"/>
      <c r="P25" s="960"/>
      <c r="Q25" s="958"/>
      <c r="R25" s="958"/>
      <c r="S25" s="958"/>
      <c r="T25" s="958"/>
      <c r="U25" s="958"/>
      <c r="V25" s="957"/>
      <c r="W25" s="958"/>
      <c r="X25" s="959"/>
      <c r="Y25" s="959"/>
    </row>
    <row r="26" spans="1:25" s="969" customFormat="1" ht="15" customHeight="1">
      <c r="A26" s="2088" t="s">
        <v>12</v>
      </c>
      <c r="B26" s="2089"/>
      <c r="C26" s="2089" t="s">
        <v>29</v>
      </c>
      <c r="D26" s="2090" t="s">
        <v>30</v>
      </c>
      <c r="E26" s="2099">
        <v>1500000</v>
      </c>
      <c r="F26" s="2099">
        <v>500000</v>
      </c>
      <c r="G26" s="2099">
        <v>500000</v>
      </c>
      <c r="H26" s="2099">
        <v>500000</v>
      </c>
      <c r="I26" s="2099">
        <v>500000</v>
      </c>
      <c r="J26" s="2099">
        <v>500000</v>
      </c>
      <c r="K26" s="2099">
        <v>500000</v>
      </c>
      <c r="L26" s="2099">
        <v>1110000</v>
      </c>
      <c r="M26" s="3081">
        <v>1200000</v>
      </c>
      <c r="N26" s="958"/>
      <c r="O26" s="958"/>
      <c r="P26" s="958"/>
      <c r="Q26" s="2072"/>
      <c r="R26" s="2072"/>
      <c r="S26" s="2072"/>
      <c r="T26" s="2072"/>
      <c r="U26" s="2072"/>
      <c r="V26" s="957"/>
      <c r="W26" s="2072"/>
      <c r="X26" s="959"/>
      <c r="Y26" s="2071"/>
    </row>
    <row r="27" spans="1:25" s="969" customFormat="1" ht="15" customHeight="1">
      <c r="A27" s="2100" t="s">
        <v>12</v>
      </c>
      <c r="B27" s="2085"/>
      <c r="C27" s="2085">
        <v>1511</v>
      </c>
      <c r="D27" s="2086" t="s">
        <v>31</v>
      </c>
      <c r="E27" s="2081">
        <v>7810000</v>
      </c>
      <c r="F27" s="2081">
        <v>11193800</v>
      </c>
      <c r="G27" s="2081">
        <v>13790901</v>
      </c>
      <c r="H27" s="2081">
        <v>13790901</v>
      </c>
      <c r="I27" s="2081">
        <v>13790901</v>
      </c>
      <c r="J27" s="2081">
        <v>13790901</v>
      </c>
      <c r="K27" s="2081">
        <v>13790901</v>
      </c>
      <c r="L27" s="2081">
        <v>13790901</v>
      </c>
      <c r="M27" s="2081">
        <v>14190000</v>
      </c>
      <c r="N27" s="958"/>
      <c r="O27" s="958"/>
      <c r="P27" s="958"/>
      <c r="Q27" s="2072"/>
      <c r="R27" s="2072"/>
      <c r="S27" s="2072"/>
      <c r="T27" s="2072"/>
      <c r="U27" s="2072"/>
      <c r="V27" s="957"/>
      <c r="W27" s="2072"/>
      <c r="X27" s="959"/>
      <c r="Y27" s="2071"/>
    </row>
    <row r="28" spans="1:25" s="969" customFormat="1" ht="15" customHeight="1">
      <c r="A28" s="2088" t="s">
        <v>12</v>
      </c>
      <c r="B28" s="2089"/>
      <c r="C28" s="2089" t="s">
        <v>32</v>
      </c>
      <c r="D28" s="2090" t="s">
        <v>33</v>
      </c>
      <c r="E28" s="2099">
        <v>0</v>
      </c>
      <c r="F28" s="2099">
        <v>0</v>
      </c>
      <c r="G28" s="2099">
        <v>0</v>
      </c>
      <c r="H28" s="2099">
        <v>0</v>
      </c>
      <c r="I28" s="2099">
        <v>0</v>
      </c>
      <c r="J28" s="2099">
        <v>0</v>
      </c>
      <c r="K28" s="2099">
        <v>0</v>
      </c>
      <c r="L28" s="2099">
        <v>0</v>
      </c>
      <c r="M28" s="2099">
        <v>0</v>
      </c>
      <c r="N28" s="958"/>
      <c r="O28" s="958"/>
      <c r="P28" s="958"/>
      <c r="Q28" s="2072"/>
      <c r="R28" s="2072"/>
      <c r="S28" s="2072"/>
      <c r="T28" s="2072"/>
      <c r="U28" s="2072">
        <v>2021</v>
      </c>
      <c r="V28" s="958">
        <v>2022</v>
      </c>
      <c r="W28" s="2072">
        <v>2023</v>
      </c>
      <c r="X28" s="959"/>
      <c r="Y28" s="2071"/>
    </row>
    <row r="29" spans="1:25" s="969" customFormat="1" ht="15" customHeight="1">
      <c r="A29" s="2088" t="s">
        <v>2952</v>
      </c>
      <c r="B29" s="2089"/>
      <c r="C29" s="2089">
        <v>4216</v>
      </c>
      <c r="D29" s="2090" t="s">
        <v>2956</v>
      </c>
      <c r="E29" s="2091">
        <v>0</v>
      </c>
      <c r="F29" s="2091">
        <v>30398511</v>
      </c>
      <c r="G29" s="2091">
        <v>30398511</v>
      </c>
      <c r="H29" s="2091">
        <v>30398511</v>
      </c>
      <c r="I29" s="2091">
        <v>30398511</v>
      </c>
      <c r="J29" s="2091">
        <v>30398511</v>
      </c>
      <c r="K29" s="2091">
        <v>30398511</v>
      </c>
      <c r="L29" s="2091">
        <v>30398511</v>
      </c>
      <c r="M29" s="3081">
        <v>7363360</v>
      </c>
      <c r="N29" s="958"/>
      <c r="O29" s="958"/>
      <c r="P29" s="958"/>
      <c r="Q29" s="2072"/>
      <c r="R29" s="2072"/>
      <c r="S29" s="2072"/>
      <c r="T29" s="2072"/>
      <c r="U29" s="2072"/>
      <c r="V29" s="958"/>
      <c r="W29" s="2072"/>
      <c r="X29" s="959"/>
      <c r="Y29" s="2071"/>
    </row>
    <row r="30" spans="1:25" s="969" customFormat="1" ht="15" customHeight="1">
      <c r="A30" s="2088"/>
      <c r="B30" s="2089"/>
      <c r="C30" s="2089">
        <v>4116</v>
      </c>
      <c r="D30" s="2090" t="s">
        <v>2957</v>
      </c>
      <c r="E30" s="2091"/>
      <c r="F30" s="2091"/>
      <c r="G30" s="2091"/>
      <c r="H30" s="2091"/>
      <c r="I30" s="2091"/>
      <c r="J30" s="2091"/>
      <c r="K30" s="2091"/>
      <c r="L30" s="2091"/>
      <c r="M30" s="3081">
        <v>515435</v>
      </c>
      <c r="N30" s="958"/>
      <c r="O30" s="958"/>
      <c r="P30" s="958"/>
      <c r="Q30" s="2072"/>
      <c r="R30" s="2072"/>
      <c r="S30" s="2072"/>
      <c r="T30" s="2072"/>
      <c r="U30" s="2072"/>
      <c r="V30" s="958"/>
      <c r="W30" s="2072"/>
      <c r="X30" s="959"/>
      <c r="Y30" s="2071"/>
    </row>
    <row r="31" spans="1:25" s="969" customFormat="1" ht="15" customHeight="1">
      <c r="A31" s="2088" t="s">
        <v>2953</v>
      </c>
      <c r="B31" s="2089"/>
      <c r="C31" s="2089">
        <v>4111</v>
      </c>
      <c r="D31" s="2090" t="s">
        <v>2958</v>
      </c>
      <c r="E31" s="2091">
        <v>130800</v>
      </c>
      <c r="F31" s="2091">
        <v>0</v>
      </c>
      <c r="G31" s="2091">
        <v>0</v>
      </c>
      <c r="H31" s="2091">
        <v>0</v>
      </c>
      <c r="I31" s="2091">
        <v>0</v>
      </c>
      <c r="J31" s="2091">
        <v>0</v>
      </c>
      <c r="K31" s="2091">
        <v>0</v>
      </c>
      <c r="L31" s="2091">
        <v>0</v>
      </c>
      <c r="M31" s="2091">
        <v>163123</v>
      </c>
      <c r="N31" s="958"/>
      <c r="O31" s="958"/>
      <c r="P31" s="958"/>
      <c r="Q31" s="2072"/>
      <c r="R31" s="2072"/>
      <c r="S31" s="2072"/>
      <c r="T31" s="2072"/>
      <c r="U31" s="2072"/>
      <c r="V31" s="958"/>
      <c r="W31" s="2072"/>
      <c r="X31" s="959"/>
      <c r="Y31" s="2071"/>
    </row>
    <row r="32" spans="1:25" s="969" customFormat="1" ht="15" customHeight="1">
      <c r="A32" s="2088" t="s">
        <v>12</v>
      </c>
      <c r="B32" s="2089"/>
      <c r="C32" s="2089" t="s">
        <v>34</v>
      </c>
      <c r="D32" s="2090" t="s">
        <v>2959</v>
      </c>
      <c r="E32" s="2091">
        <v>60000</v>
      </c>
      <c r="F32" s="2091"/>
      <c r="G32" s="2091"/>
      <c r="H32" s="2091"/>
      <c r="I32" s="2091"/>
      <c r="J32" s="2091"/>
      <c r="K32" s="2091"/>
      <c r="L32" s="2091"/>
      <c r="M32" s="2091">
        <v>120000</v>
      </c>
      <c r="N32" s="958"/>
      <c r="O32" s="958"/>
      <c r="P32" s="958"/>
      <c r="Q32" s="2072"/>
      <c r="R32" s="2072"/>
      <c r="S32" s="2072"/>
      <c r="T32" s="2072"/>
      <c r="U32" s="2072"/>
      <c r="V32" s="957"/>
      <c r="W32" s="2072"/>
      <c r="X32" s="959"/>
      <c r="Y32" s="2071"/>
    </row>
    <row r="33" spans="1:37" s="969" customFormat="1" ht="15" customHeight="1">
      <c r="A33" s="2088"/>
      <c r="B33" s="2089"/>
      <c r="C33" s="2089">
        <v>4121</v>
      </c>
      <c r="D33" s="2090" t="s">
        <v>2854</v>
      </c>
      <c r="E33" s="2091"/>
      <c r="F33" s="2091">
        <v>0</v>
      </c>
      <c r="G33" s="2091">
        <v>0</v>
      </c>
      <c r="H33" s="2091">
        <v>0</v>
      </c>
      <c r="I33" s="2091">
        <v>0</v>
      </c>
      <c r="J33" s="2091">
        <v>0</v>
      </c>
      <c r="K33" s="2091">
        <v>0</v>
      </c>
      <c r="L33" s="2091">
        <v>0</v>
      </c>
      <c r="M33" s="2091">
        <v>0</v>
      </c>
      <c r="N33" s="958"/>
      <c r="O33" s="958"/>
      <c r="P33" s="958"/>
      <c r="Q33" s="2072"/>
      <c r="R33" s="2072"/>
      <c r="S33" s="2072"/>
      <c r="T33" s="2072"/>
      <c r="U33" s="2072"/>
      <c r="V33" s="957"/>
      <c r="W33" s="2072"/>
      <c r="X33" s="959"/>
      <c r="Y33" s="2071"/>
    </row>
    <row r="34" spans="1:37" s="969" customFormat="1" ht="15" customHeight="1">
      <c r="A34" s="2088" t="s">
        <v>12</v>
      </c>
      <c r="B34" s="2089">
        <v>2212</v>
      </c>
      <c r="C34" s="2089">
        <v>2111</v>
      </c>
      <c r="D34" s="2090" t="s">
        <v>1523</v>
      </c>
      <c r="E34" s="2091">
        <v>21950</v>
      </c>
      <c r="F34" s="2091">
        <v>21950</v>
      </c>
      <c r="G34" s="2091">
        <v>21950</v>
      </c>
      <c r="H34" s="2091">
        <v>21950</v>
      </c>
      <c r="I34" s="2091">
        <v>21950</v>
      </c>
      <c r="J34" s="2091">
        <v>21950</v>
      </c>
      <c r="K34" s="2091">
        <v>21950</v>
      </c>
      <c r="L34" s="2091">
        <v>21950</v>
      </c>
      <c r="M34" s="2091">
        <v>26200</v>
      </c>
      <c r="N34" s="958"/>
      <c r="O34" s="958"/>
      <c r="P34" s="958"/>
      <c r="Q34" s="2072"/>
      <c r="R34" s="2072"/>
      <c r="S34" s="2072"/>
      <c r="T34" s="2072"/>
      <c r="U34" s="2072"/>
      <c r="V34" s="957"/>
      <c r="W34" s="2072"/>
      <c r="X34" s="959"/>
      <c r="Y34" s="2071"/>
    </row>
    <row r="35" spans="1:37" s="969" customFormat="1" ht="15" customHeight="1">
      <c r="A35" s="2088" t="s">
        <v>12</v>
      </c>
      <c r="B35" s="2089">
        <v>2212</v>
      </c>
      <c r="C35" s="2089">
        <v>2322</v>
      </c>
      <c r="D35" s="2090" t="s">
        <v>1524</v>
      </c>
      <c r="E35" s="2101">
        <v>0</v>
      </c>
      <c r="F35" s="2091">
        <v>0</v>
      </c>
      <c r="G35" s="2091">
        <v>0</v>
      </c>
      <c r="H35" s="2091">
        <v>0</v>
      </c>
      <c r="I35" s="2091">
        <v>0</v>
      </c>
      <c r="J35" s="2091">
        <v>0</v>
      </c>
      <c r="K35" s="2091">
        <v>0</v>
      </c>
      <c r="L35" s="2091">
        <v>0</v>
      </c>
      <c r="M35" s="2091">
        <v>47000</v>
      </c>
      <c r="N35" s="958"/>
      <c r="O35" s="958"/>
      <c r="P35" s="958"/>
      <c r="Q35" s="2072"/>
      <c r="R35" s="2072"/>
      <c r="S35" s="2072"/>
      <c r="T35" s="2072"/>
      <c r="U35" s="2072"/>
      <c r="V35" s="957"/>
      <c r="W35" s="2072"/>
      <c r="X35" s="959"/>
      <c r="Y35" s="2071"/>
    </row>
    <row r="36" spans="1:37" s="969" customFormat="1" ht="15" customHeight="1">
      <c r="A36" s="2102">
        <v>2321</v>
      </c>
      <c r="B36" s="2103">
        <v>2310</v>
      </c>
      <c r="C36" s="2103" t="s">
        <v>40</v>
      </c>
      <c r="D36" s="2104" t="s">
        <v>41</v>
      </c>
      <c r="E36" s="2105">
        <v>4806120</v>
      </c>
      <c r="F36" s="2105">
        <v>4806120</v>
      </c>
      <c r="G36" s="2105">
        <v>4806120</v>
      </c>
      <c r="H36" s="2105">
        <v>4806120</v>
      </c>
      <c r="I36" s="2105">
        <v>4806120</v>
      </c>
      <c r="J36" s="2105">
        <v>4806120</v>
      </c>
      <c r="K36" s="2105">
        <v>4806120</v>
      </c>
      <c r="L36" s="2105">
        <v>4806120</v>
      </c>
      <c r="M36" s="2105">
        <v>4406000</v>
      </c>
      <c r="N36" s="959">
        <v>1522129.26</v>
      </c>
      <c r="O36" s="959"/>
      <c r="P36" s="959"/>
      <c r="Q36" s="959">
        <v>1894000</v>
      </c>
      <c r="R36" s="2106">
        <v>2267000</v>
      </c>
      <c r="S36" s="2107">
        <v>2660000</v>
      </c>
      <c r="T36" s="2107">
        <v>3075000</v>
      </c>
      <c r="U36" s="2107">
        <v>3512000</v>
      </c>
      <c r="V36" s="2107">
        <v>3972000</v>
      </c>
      <c r="W36" s="2107">
        <v>4381456.0968350032</v>
      </c>
      <c r="X36" s="959"/>
      <c r="Y36" s="2072"/>
    </row>
    <row r="37" spans="1:37" s="969" customFormat="1" ht="15" customHeight="1">
      <c r="A37" s="2102" t="s">
        <v>42</v>
      </c>
      <c r="B37" s="2103">
        <v>2321</v>
      </c>
      <c r="C37" s="2103" t="s">
        <v>40</v>
      </c>
      <c r="D37" s="2104" t="s">
        <v>43</v>
      </c>
      <c r="E37" s="2105">
        <v>8646660</v>
      </c>
      <c r="F37" s="2105">
        <v>8646660</v>
      </c>
      <c r="G37" s="2105">
        <v>8646660</v>
      </c>
      <c r="H37" s="2105">
        <v>8646660</v>
      </c>
      <c r="I37" s="2105">
        <v>8646660</v>
      </c>
      <c r="J37" s="2105">
        <v>8646660</v>
      </c>
      <c r="K37" s="2105">
        <v>8646660</v>
      </c>
      <c r="L37" s="2105">
        <v>8646660</v>
      </c>
      <c r="M37" s="2105">
        <v>7927000</v>
      </c>
      <c r="N37" s="959">
        <f>2977926.74-941000</f>
        <v>2036926.7400000002</v>
      </c>
      <c r="O37" s="959"/>
      <c r="P37" s="959"/>
      <c r="Q37" s="959">
        <v>4510000</v>
      </c>
      <c r="R37" s="2106">
        <v>4989000</v>
      </c>
      <c r="S37" s="2107">
        <v>5490000</v>
      </c>
      <c r="T37" s="2107">
        <v>6016000</v>
      </c>
      <c r="U37" s="2107">
        <v>6567000</v>
      </c>
      <c r="V37" s="2107">
        <v>7146000</v>
      </c>
      <c r="W37" s="2107">
        <v>7882649.8660581401</v>
      </c>
      <c r="X37" s="959"/>
      <c r="Y37" s="2072"/>
    </row>
    <row r="38" spans="1:37" s="969" customFormat="1" ht="15" customHeight="1">
      <c r="A38" s="2088">
        <v>3113</v>
      </c>
      <c r="B38" s="2089">
        <v>3113</v>
      </c>
      <c r="C38" s="2089" t="s">
        <v>44</v>
      </c>
      <c r="D38" s="2090" t="s">
        <v>45</v>
      </c>
      <c r="E38" s="2091">
        <v>50000</v>
      </c>
      <c r="F38" s="2091">
        <v>50000</v>
      </c>
      <c r="G38" s="2091">
        <v>50000</v>
      </c>
      <c r="H38" s="2091">
        <v>50000</v>
      </c>
      <c r="I38" s="2091">
        <v>50000</v>
      </c>
      <c r="J38" s="2091">
        <v>50000</v>
      </c>
      <c r="K38" s="2091">
        <v>50000</v>
      </c>
      <c r="L38" s="2091">
        <v>50000</v>
      </c>
      <c r="M38" s="2091">
        <v>41000</v>
      </c>
      <c r="N38" s="2106"/>
      <c r="O38" s="2106"/>
      <c r="P38" s="2106"/>
      <c r="Q38" s="2106"/>
      <c r="R38" s="2106"/>
      <c r="S38" s="2107">
        <f>+S36+S37</f>
        <v>8150000</v>
      </c>
      <c r="T38" s="2107">
        <f t="shared" ref="T38:V38" si="0">+T36+T37</f>
        <v>9091000</v>
      </c>
      <c r="U38" s="2107">
        <f t="shared" si="0"/>
        <v>10079000</v>
      </c>
      <c r="V38" s="2107">
        <f t="shared" si="0"/>
        <v>11118000</v>
      </c>
      <c r="W38" s="2107">
        <f>+W37+W36</f>
        <v>12264105.962893143</v>
      </c>
      <c r="X38" s="959"/>
      <c r="Y38" s="2072"/>
    </row>
    <row r="39" spans="1:37" s="969" customFormat="1" ht="15" customHeight="1">
      <c r="A39" s="2088"/>
      <c r="B39" s="2089">
        <v>3113</v>
      </c>
      <c r="C39" s="2089" t="s">
        <v>40</v>
      </c>
      <c r="D39" s="2090" t="s">
        <v>46</v>
      </c>
      <c r="E39" s="2091">
        <v>249000</v>
      </c>
      <c r="F39" s="2091">
        <v>249000</v>
      </c>
      <c r="G39" s="2091">
        <v>249000</v>
      </c>
      <c r="H39" s="2091">
        <v>249000</v>
      </c>
      <c r="I39" s="2091">
        <v>249000</v>
      </c>
      <c r="J39" s="2091">
        <v>249000</v>
      </c>
      <c r="K39" s="2091">
        <v>249000</v>
      </c>
      <c r="L39" s="2091">
        <v>249000</v>
      </c>
      <c r="M39" s="2091">
        <v>233000</v>
      </c>
      <c r="N39" s="2106"/>
      <c r="O39" s="2106"/>
      <c r="P39" s="2106"/>
      <c r="Q39" s="2108">
        <f>Q38/200000</f>
        <v>0</v>
      </c>
      <c r="R39" s="2109">
        <f>R38/200000</f>
        <v>0</v>
      </c>
      <c r="S39" s="2110">
        <f>S38/200000</f>
        <v>40.75</v>
      </c>
      <c r="T39" s="2110">
        <f>T38/200000</f>
        <v>45.454999999999998</v>
      </c>
      <c r="U39" s="2110">
        <f t="shared" ref="U39:W39" si="1">U38/200000</f>
        <v>50.395000000000003</v>
      </c>
      <c r="V39" s="2110">
        <f t="shared" si="1"/>
        <v>55.59</v>
      </c>
      <c r="W39" s="2110">
        <f t="shared" si="1"/>
        <v>61.320529814465715</v>
      </c>
      <c r="X39" s="959"/>
      <c r="Y39" s="2072"/>
    </row>
    <row r="40" spans="1:37" s="969" customFormat="1" ht="15" customHeight="1">
      <c r="A40" s="2088"/>
      <c r="B40" s="2089">
        <v>3114</v>
      </c>
      <c r="C40" s="2089">
        <v>2132</v>
      </c>
      <c r="D40" s="2090" t="s">
        <v>2960</v>
      </c>
      <c r="E40" s="2091"/>
      <c r="F40" s="2091"/>
      <c r="G40" s="2091"/>
      <c r="H40" s="2091"/>
      <c r="I40" s="2091"/>
      <c r="J40" s="2091"/>
      <c r="K40" s="2091"/>
      <c r="L40" s="2091"/>
      <c r="M40" s="2091">
        <v>8000</v>
      </c>
      <c r="N40" s="2106"/>
      <c r="O40" s="2106"/>
      <c r="P40" s="2106"/>
      <c r="Q40" s="2108"/>
      <c r="R40" s="2109"/>
      <c r="S40" s="2110"/>
      <c r="T40" s="2110"/>
      <c r="U40" s="2110"/>
      <c r="V40" s="2110"/>
      <c r="W40" s="2110"/>
      <c r="X40" s="959"/>
      <c r="Y40" s="2072"/>
    </row>
    <row r="41" spans="1:37" s="969" customFormat="1" ht="15" customHeight="1">
      <c r="A41" s="2088"/>
      <c r="B41" s="2089">
        <v>3114</v>
      </c>
      <c r="C41" s="2089">
        <v>2111</v>
      </c>
      <c r="D41" s="2090" t="s">
        <v>2961</v>
      </c>
      <c r="E41" s="2091"/>
      <c r="F41" s="2091"/>
      <c r="G41" s="2091"/>
      <c r="H41" s="2091"/>
      <c r="I41" s="2091"/>
      <c r="J41" s="2091"/>
      <c r="K41" s="2091"/>
      <c r="L41" s="2091"/>
      <c r="M41" s="2091">
        <v>22000</v>
      </c>
      <c r="N41" s="2106"/>
      <c r="O41" s="2106"/>
      <c r="P41" s="2106"/>
      <c r="Q41" s="2108"/>
      <c r="R41" s="2109"/>
      <c r="S41" s="2110"/>
      <c r="T41" s="2110"/>
      <c r="U41" s="2110"/>
      <c r="V41" s="2110"/>
      <c r="W41" s="2110"/>
      <c r="X41" s="959"/>
      <c r="Y41" s="2072"/>
    </row>
    <row r="42" spans="1:37" s="969" customFormat="1" ht="15" customHeight="1">
      <c r="A42" s="2088"/>
      <c r="B42" s="2089">
        <v>3314</v>
      </c>
      <c r="C42" s="2089">
        <v>2111</v>
      </c>
      <c r="D42" s="2090" t="s">
        <v>47</v>
      </c>
      <c r="E42" s="2091">
        <v>50000</v>
      </c>
      <c r="F42" s="2091">
        <v>20000</v>
      </c>
      <c r="G42" s="2091">
        <v>20000</v>
      </c>
      <c r="H42" s="2091">
        <v>20000</v>
      </c>
      <c r="I42" s="2091">
        <v>20000</v>
      </c>
      <c r="J42" s="2091">
        <v>20000</v>
      </c>
      <c r="K42" s="2091">
        <v>20000</v>
      </c>
      <c r="L42" s="2091">
        <v>20000</v>
      </c>
      <c r="M42" s="2091">
        <v>109000</v>
      </c>
      <c r="N42" s="958"/>
      <c r="O42" s="958"/>
      <c r="P42" s="958"/>
      <c r="Q42" s="2072"/>
      <c r="R42" s="2072"/>
      <c r="S42" s="2072"/>
      <c r="T42" s="2072"/>
      <c r="U42" s="2072"/>
      <c r="V42" s="957"/>
      <c r="W42" s="2072"/>
      <c r="X42" s="959"/>
      <c r="Y42" s="2071"/>
    </row>
    <row r="43" spans="1:37" s="969" customFormat="1" ht="15" customHeight="1">
      <c r="A43" s="2088"/>
      <c r="B43" s="2089">
        <v>3314</v>
      </c>
      <c r="C43" s="2089">
        <v>2321</v>
      </c>
      <c r="D43" s="2090" t="s">
        <v>1525</v>
      </c>
      <c r="E43" s="2101">
        <v>0</v>
      </c>
      <c r="F43" s="2091">
        <v>0</v>
      </c>
      <c r="G43" s="2091">
        <v>0</v>
      </c>
      <c r="H43" s="2091">
        <v>0</v>
      </c>
      <c r="I43" s="2091">
        <v>0</v>
      </c>
      <c r="J43" s="2091">
        <v>0</v>
      </c>
      <c r="K43" s="2091">
        <v>0</v>
      </c>
      <c r="L43" s="2091">
        <v>0</v>
      </c>
      <c r="M43" s="2091">
        <v>0</v>
      </c>
      <c r="N43" s="958"/>
      <c r="O43" s="958"/>
      <c r="P43" s="958"/>
      <c r="Q43" s="2072"/>
      <c r="R43" s="2072"/>
      <c r="S43" s="2072"/>
      <c r="T43" s="2072"/>
      <c r="U43" s="2072"/>
      <c r="V43" s="957"/>
      <c r="W43" s="2072"/>
      <c r="X43" s="959"/>
      <c r="Y43" s="2071"/>
    </row>
    <row r="44" spans="1:37" s="969" customFormat="1" ht="15" customHeight="1">
      <c r="A44" s="2088">
        <v>3349</v>
      </c>
      <c r="B44" s="2089">
        <v>3349</v>
      </c>
      <c r="C44" s="2089">
        <v>2111</v>
      </c>
      <c r="D44" s="2090" t="s">
        <v>48</v>
      </c>
      <c r="E44" s="2091">
        <v>250000</v>
      </c>
      <c r="F44" s="2091">
        <v>250000</v>
      </c>
      <c r="G44" s="2091">
        <v>250000</v>
      </c>
      <c r="H44" s="2091">
        <v>250000</v>
      </c>
      <c r="I44" s="2091">
        <v>250000</v>
      </c>
      <c r="J44" s="2091">
        <v>250000</v>
      </c>
      <c r="K44" s="2091">
        <v>250000</v>
      </c>
      <c r="L44" s="2091">
        <v>250000</v>
      </c>
      <c r="M44" s="2091">
        <v>302000</v>
      </c>
      <c r="N44" s="958"/>
      <c r="O44" s="958"/>
      <c r="P44" s="958"/>
      <c r="Q44" s="2072"/>
      <c r="R44" s="2072"/>
      <c r="S44" s="2072"/>
      <c r="T44" s="2072"/>
      <c r="U44" s="2072"/>
      <c r="V44" s="957"/>
      <c r="W44" s="2072"/>
      <c r="X44" s="959"/>
      <c r="Y44" s="2071"/>
    </row>
    <row r="45" spans="1:37" s="969" customFormat="1" ht="15" customHeight="1">
      <c r="A45" s="2088"/>
      <c r="B45" s="2089">
        <v>3399</v>
      </c>
      <c r="C45" s="2089" t="s">
        <v>44</v>
      </c>
      <c r="D45" s="2090" t="s">
        <v>49</v>
      </c>
      <c r="E45" s="2091">
        <v>70000</v>
      </c>
      <c r="F45" s="2091">
        <v>70000</v>
      </c>
      <c r="G45" s="2091">
        <v>70000</v>
      </c>
      <c r="H45" s="2091">
        <v>70000</v>
      </c>
      <c r="I45" s="2091">
        <v>70000</v>
      </c>
      <c r="J45" s="2091">
        <v>70000</v>
      </c>
      <c r="K45" s="2091">
        <v>70000</v>
      </c>
      <c r="L45" s="2091">
        <v>70000</v>
      </c>
      <c r="M45" s="2091">
        <v>133000</v>
      </c>
      <c r="N45" s="958"/>
      <c r="O45" s="958"/>
      <c r="P45" s="2111">
        <v>6600100</v>
      </c>
      <c r="Q45" s="2072">
        <v>2020</v>
      </c>
      <c r="R45" s="2072">
        <v>2021</v>
      </c>
      <c r="S45" s="2072">
        <v>2022</v>
      </c>
      <c r="T45" s="2072">
        <v>2023</v>
      </c>
      <c r="U45" s="2072">
        <v>2024</v>
      </c>
      <c r="V45" s="2072">
        <v>2025</v>
      </c>
      <c r="W45" s="2072">
        <v>2026</v>
      </c>
      <c r="X45" s="2072">
        <v>2027</v>
      </c>
      <c r="Y45" s="2072">
        <v>2028</v>
      </c>
      <c r="Z45" s="2072">
        <v>2029</v>
      </c>
      <c r="AA45" s="2072"/>
      <c r="AB45" s="2072"/>
      <c r="AC45" s="2072"/>
      <c r="AD45" s="2072"/>
      <c r="AE45" s="2072"/>
      <c r="AF45" s="2072"/>
      <c r="AG45" s="2072"/>
      <c r="AH45" s="2072"/>
      <c r="AI45" s="2072"/>
      <c r="AJ45" s="2072"/>
      <c r="AK45" s="2072"/>
    </row>
    <row r="46" spans="1:37" s="969" customFormat="1" ht="15" customHeight="1">
      <c r="A46" s="2100">
        <v>3412</v>
      </c>
      <c r="B46" s="2085">
        <v>3412</v>
      </c>
      <c r="C46" s="2085">
        <v>2132</v>
      </c>
      <c r="D46" s="2086" t="s">
        <v>50</v>
      </c>
      <c r="E46" s="2081">
        <v>660010</v>
      </c>
      <c r="F46" s="2081">
        <v>330005</v>
      </c>
      <c r="G46" s="2081">
        <v>330005</v>
      </c>
      <c r="H46" s="2081">
        <v>330005</v>
      </c>
      <c r="I46" s="2081">
        <v>330005</v>
      </c>
      <c r="J46" s="2081">
        <v>330005</v>
      </c>
      <c r="K46" s="2081">
        <v>330005</v>
      </c>
      <c r="L46" s="2081">
        <v>330005</v>
      </c>
      <c r="M46" s="2081">
        <v>448000</v>
      </c>
      <c r="N46" s="958"/>
      <c r="O46" s="958"/>
      <c r="P46" s="958" t="s">
        <v>498</v>
      </c>
      <c r="Q46" s="958">
        <f>+P45*0.3</f>
        <v>1980030</v>
      </c>
      <c r="R46" s="958">
        <f>+P45*0.2</f>
        <v>1320020</v>
      </c>
      <c r="S46" s="958">
        <f>+P45*0.1</f>
        <v>660010</v>
      </c>
      <c r="T46" s="958">
        <f>+P45*0.1</f>
        <v>660010</v>
      </c>
      <c r="U46" s="958">
        <f>+P45*0.05</f>
        <v>330005</v>
      </c>
      <c r="V46" s="958">
        <f>+P45*0.05</f>
        <v>330005</v>
      </c>
      <c r="W46" s="958">
        <f>+P45*0.05</f>
        <v>330005</v>
      </c>
      <c r="X46" s="958">
        <f>+P45*0.05</f>
        <v>330005</v>
      </c>
      <c r="Y46" s="958">
        <f>+P45*0.05</f>
        <v>330005</v>
      </c>
      <c r="Z46" s="958">
        <f>+P45*0.05</f>
        <v>330005</v>
      </c>
      <c r="AA46" s="2072"/>
      <c r="AB46" s="2072"/>
      <c r="AC46" s="2072"/>
      <c r="AD46" s="2072"/>
      <c r="AE46" s="2072"/>
    </row>
    <row r="47" spans="1:37" s="969" customFormat="1" ht="15" customHeight="1">
      <c r="A47" s="2100"/>
      <c r="B47" s="2085">
        <v>3412</v>
      </c>
      <c r="C47" s="2085">
        <v>3121</v>
      </c>
      <c r="D47" s="2086" t="s">
        <v>2827</v>
      </c>
      <c r="E47" s="2081"/>
      <c r="F47" s="2081"/>
      <c r="G47" s="2081"/>
      <c r="H47" s="2081"/>
      <c r="I47" s="2081"/>
      <c r="J47" s="2081">
        <v>254100</v>
      </c>
      <c r="K47" s="2081">
        <v>254100</v>
      </c>
      <c r="L47" s="2081">
        <v>254100</v>
      </c>
      <c r="M47" s="2081">
        <v>254100</v>
      </c>
      <c r="N47" s="958"/>
      <c r="O47" s="958"/>
      <c r="P47" s="958"/>
      <c r="Q47" s="958"/>
      <c r="R47" s="958"/>
      <c r="S47" s="958"/>
      <c r="T47" s="958"/>
      <c r="U47" s="958"/>
      <c r="V47" s="958"/>
      <c r="W47" s="958"/>
      <c r="X47" s="958"/>
      <c r="Y47" s="958"/>
      <c r="Z47" s="958"/>
      <c r="AA47" s="2072"/>
      <c r="AB47" s="2072"/>
      <c r="AC47" s="2072"/>
      <c r="AD47" s="2072"/>
      <c r="AE47" s="2072"/>
    </row>
    <row r="48" spans="1:37" s="969" customFormat="1" ht="15" customHeight="1">
      <c r="A48" s="2088"/>
      <c r="B48" s="2089">
        <v>3519</v>
      </c>
      <c r="C48" s="2089">
        <v>2132</v>
      </c>
      <c r="D48" s="2090" t="s">
        <v>51</v>
      </c>
      <c r="E48" s="2099">
        <v>828800</v>
      </c>
      <c r="F48" s="2099">
        <v>828800</v>
      </c>
      <c r="G48" s="2099">
        <v>983600</v>
      </c>
      <c r="H48" s="2099">
        <v>983600</v>
      </c>
      <c r="I48" s="2099">
        <v>983600</v>
      </c>
      <c r="J48" s="2099">
        <v>983600</v>
      </c>
      <c r="K48" s="2099">
        <v>983600</v>
      </c>
      <c r="L48" s="2099">
        <v>983600</v>
      </c>
      <c r="M48" s="2099">
        <v>1060000</v>
      </c>
      <c r="N48" s="958"/>
      <c r="O48" s="958"/>
      <c r="P48" s="958"/>
      <c r="Q48" s="958"/>
      <c r="R48" s="2072"/>
      <c r="S48" s="2072"/>
      <c r="T48" s="2072"/>
      <c r="U48" s="2072"/>
      <c r="V48" s="957"/>
      <c r="W48" s="2072"/>
      <c r="X48" s="959"/>
      <c r="Y48" s="2071"/>
    </row>
    <row r="49" spans="1:25" s="969" customFormat="1" ht="15" customHeight="1">
      <c r="A49" s="2088">
        <v>3612</v>
      </c>
      <c r="B49" s="2089">
        <v>3612</v>
      </c>
      <c r="C49" s="2089">
        <v>2111</v>
      </c>
      <c r="D49" s="2090" t="s">
        <v>52</v>
      </c>
      <c r="E49" s="2091">
        <v>2950832</v>
      </c>
      <c r="F49" s="2091">
        <v>2950832</v>
      </c>
      <c r="G49" s="2091">
        <v>4230000</v>
      </c>
      <c r="H49" s="2091">
        <v>4230000</v>
      </c>
      <c r="I49" s="2091">
        <v>4230000</v>
      </c>
      <c r="J49" s="2091">
        <v>4230000</v>
      </c>
      <c r="K49" s="2091">
        <v>4230000</v>
      </c>
      <c r="L49" s="2091">
        <v>4230000</v>
      </c>
      <c r="M49" s="2091">
        <v>2400000</v>
      </c>
      <c r="N49" s="958"/>
      <c r="O49" s="958"/>
      <c r="P49" s="958"/>
      <c r="Q49" s="2072"/>
      <c r="R49" s="2072"/>
      <c r="S49" s="2072"/>
      <c r="T49" s="2072"/>
      <c r="U49" s="2072"/>
      <c r="V49" s="957"/>
      <c r="W49" s="2072"/>
      <c r="X49" s="959"/>
      <c r="Y49" s="2071"/>
    </row>
    <row r="50" spans="1:25" s="969" customFormat="1" ht="15" customHeight="1">
      <c r="A50" s="2088">
        <v>3612</v>
      </c>
      <c r="B50" s="2089">
        <v>3612</v>
      </c>
      <c r="C50" s="2089">
        <v>2132</v>
      </c>
      <c r="D50" s="2090" t="s">
        <v>53</v>
      </c>
      <c r="E50" s="2091">
        <v>4800000</v>
      </c>
      <c r="F50" s="2091">
        <v>4800000</v>
      </c>
      <c r="G50" s="2091">
        <v>5600000</v>
      </c>
      <c r="H50" s="2091">
        <v>5801000</v>
      </c>
      <c r="I50" s="2091">
        <v>5801000</v>
      </c>
      <c r="J50" s="2091">
        <v>5801000</v>
      </c>
      <c r="K50" s="2091">
        <v>5801000</v>
      </c>
      <c r="L50" s="2091">
        <v>5801000</v>
      </c>
      <c r="M50" s="2091">
        <v>5801000</v>
      </c>
      <c r="N50" s="958"/>
      <c r="O50" s="958"/>
      <c r="P50" s="958"/>
      <c r="Q50" s="2072"/>
      <c r="R50" s="2072"/>
      <c r="S50" s="2072"/>
      <c r="T50" s="2072"/>
      <c r="U50" s="2072"/>
      <c r="V50" s="957"/>
      <c r="W50" s="2072"/>
      <c r="X50" s="959"/>
      <c r="Y50" s="2071"/>
    </row>
    <row r="51" spans="1:25" s="969" customFormat="1" ht="15" customHeight="1">
      <c r="A51" s="2088"/>
      <c r="B51" s="2089">
        <v>3612</v>
      </c>
      <c r="C51" s="2089">
        <v>2322</v>
      </c>
      <c r="D51" s="2090" t="s">
        <v>1526</v>
      </c>
      <c r="E51" s="2101">
        <v>0</v>
      </c>
      <c r="F51" s="2091">
        <v>0</v>
      </c>
      <c r="G51" s="2091">
        <v>0</v>
      </c>
      <c r="H51" s="2091">
        <v>0</v>
      </c>
      <c r="I51" s="2091">
        <v>0</v>
      </c>
      <c r="J51" s="2091">
        <v>0</v>
      </c>
      <c r="K51" s="2091">
        <v>0</v>
      </c>
      <c r="L51" s="2091">
        <v>0</v>
      </c>
      <c r="M51" s="2091">
        <v>0</v>
      </c>
      <c r="N51" s="958"/>
      <c r="O51" s="958"/>
      <c r="P51" s="958"/>
      <c r="Q51" s="2072"/>
      <c r="R51" s="2072"/>
      <c r="S51" s="2072"/>
      <c r="T51" s="2072"/>
      <c r="U51" s="2072"/>
      <c r="V51" s="957"/>
      <c r="W51" s="2072"/>
      <c r="X51" s="959"/>
      <c r="Y51" s="2071"/>
    </row>
    <row r="52" spans="1:25" s="969" customFormat="1" ht="15" customHeight="1">
      <c r="A52" s="2088"/>
      <c r="B52" s="2089">
        <v>3612</v>
      </c>
      <c r="C52" s="2089">
        <v>3122</v>
      </c>
      <c r="D52" s="2090" t="s">
        <v>1223</v>
      </c>
      <c r="E52" s="2091">
        <v>0</v>
      </c>
      <c r="F52" s="2091">
        <v>0</v>
      </c>
      <c r="G52" s="2091">
        <v>0</v>
      </c>
      <c r="H52" s="2091">
        <v>0</v>
      </c>
      <c r="I52" s="2091">
        <v>0</v>
      </c>
      <c r="J52" s="2091">
        <v>0</v>
      </c>
      <c r="K52" s="2091">
        <v>0</v>
      </c>
      <c r="L52" s="2091">
        <v>0</v>
      </c>
      <c r="M52" s="2091">
        <v>0</v>
      </c>
      <c r="N52" s="958"/>
      <c r="O52" s="958"/>
      <c r="P52" s="958"/>
      <c r="Q52" s="2072"/>
      <c r="R52" s="2072"/>
      <c r="S52" s="2072"/>
      <c r="T52" s="2072"/>
      <c r="U52" s="2072"/>
      <c r="V52" s="957"/>
      <c r="W52" s="2072"/>
      <c r="X52" s="959"/>
      <c r="Y52" s="2071"/>
    </row>
    <row r="53" spans="1:25" s="969" customFormat="1" ht="15" customHeight="1">
      <c r="A53" s="2088">
        <v>3613</v>
      </c>
      <c r="B53" s="2089">
        <v>3613</v>
      </c>
      <c r="C53" s="2089" t="s">
        <v>44</v>
      </c>
      <c r="D53" s="2090" t="s">
        <v>54</v>
      </c>
      <c r="E53" s="2091">
        <v>81000</v>
      </c>
      <c r="F53" s="2091">
        <v>81000</v>
      </c>
      <c r="G53" s="2091">
        <v>81000</v>
      </c>
      <c r="H53" s="2091">
        <v>81000</v>
      </c>
      <c r="I53" s="2091">
        <v>81000</v>
      </c>
      <c r="J53" s="2091">
        <v>81000</v>
      </c>
      <c r="K53" s="2091">
        <v>81000</v>
      </c>
      <c r="L53" s="2091">
        <v>81000</v>
      </c>
      <c r="M53" s="2091">
        <v>322000</v>
      </c>
      <c r="N53" s="958"/>
      <c r="O53" s="958"/>
      <c r="P53" s="958"/>
      <c r="Q53" s="2072"/>
      <c r="R53" s="2072"/>
      <c r="S53" s="2072"/>
      <c r="T53" s="2072"/>
      <c r="U53" s="2072"/>
      <c r="V53" s="957"/>
      <c r="W53" s="2072"/>
      <c r="X53" s="959"/>
      <c r="Y53" s="2071"/>
    </row>
    <row r="54" spans="1:25" s="969" customFormat="1" ht="15" customHeight="1">
      <c r="A54" s="2100"/>
      <c r="B54" s="2085">
        <v>3613</v>
      </c>
      <c r="C54" s="2085">
        <v>2132</v>
      </c>
      <c r="D54" s="2086" t="s">
        <v>2573</v>
      </c>
      <c r="E54" s="2081"/>
      <c r="F54" s="2081">
        <v>231792</v>
      </c>
      <c r="G54" s="2081">
        <v>231792</v>
      </c>
      <c r="H54" s="2081">
        <v>231792</v>
      </c>
      <c r="I54" s="2081">
        <v>231792</v>
      </c>
      <c r="J54" s="2081">
        <v>231792</v>
      </c>
      <c r="K54" s="2081">
        <v>231792</v>
      </c>
      <c r="L54" s="2081">
        <v>231792</v>
      </c>
      <c r="M54" s="2081">
        <v>231792</v>
      </c>
      <c r="N54" s="958"/>
      <c r="O54" s="958"/>
      <c r="P54" s="958"/>
      <c r="Q54" s="2072"/>
      <c r="R54" s="2072"/>
      <c r="S54" s="2072"/>
      <c r="T54" s="2072"/>
      <c r="U54" s="2072"/>
      <c r="V54" s="957"/>
      <c r="W54" s="2072"/>
      <c r="X54" s="959"/>
      <c r="Y54" s="2071"/>
    </row>
    <row r="55" spans="1:25" s="969" customFormat="1" ht="15" customHeight="1">
      <c r="A55" s="2088">
        <v>3613</v>
      </c>
      <c r="B55" s="2089">
        <v>3613</v>
      </c>
      <c r="C55" s="2089">
        <v>2132</v>
      </c>
      <c r="D55" s="2090" t="s">
        <v>503</v>
      </c>
      <c r="E55" s="2099">
        <v>179395</v>
      </c>
      <c r="F55" s="2099">
        <v>179395</v>
      </c>
      <c r="G55" s="2099">
        <v>179395</v>
      </c>
      <c r="H55" s="2099">
        <v>179395</v>
      </c>
      <c r="I55" s="2099">
        <v>179395</v>
      </c>
      <c r="J55" s="2099">
        <v>179395</v>
      </c>
      <c r="K55" s="2099">
        <v>179395</v>
      </c>
      <c r="L55" s="2099">
        <v>179395</v>
      </c>
      <c r="M55" s="2099">
        <v>179395</v>
      </c>
      <c r="N55" s="958"/>
      <c r="O55" s="958"/>
      <c r="P55" s="958"/>
      <c r="Q55" s="2072"/>
      <c r="R55" s="2072"/>
      <c r="S55" s="2072"/>
      <c r="T55" s="2072"/>
      <c r="U55" s="2072"/>
      <c r="V55" s="957"/>
      <c r="W55" s="2072"/>
      <c r="X55" s="959"/>
      <c r="Y55" s="2071"/>
    </row>
    <row r="56" spans="1:25" s="969" customFormat="1" ht="15" customHeight="1">
      <c r="A56" s="2088">
        <v>3613</v>
      </c>
      <c r="B56" s="2089">
        <v>3613</v>
      </c>
      <c r="C56" s="2089">
        <v>2111</v>
      </c>
      <c r="D56" s="2090" t="s">
        <v>740</v>
      </c>
      <c r="E56" s="2091">
        <v>78000</v>
      </c>
      <c r="F56" s="2091">
        <v>78000</v>
      </c>
      <c r="G56" s="2091">
        <v>78000</v>
      </c>
      <c r="H56" s="2091">
        <v>78000</v>
      </c>
      <c r="I56" s="2091">
        <v>78000</v>
      </c>
      <c r="J56" s="2091">
        <v>78000</v>
      </c>
      <c r="K56" s="2091">
        <v>78000</v>
      </c>
      <c r="L56" s="2091">
        <v>78000</v>
      </c>
      <c r="M56" s="2091">
        <v>78000</v>
      </c>
      <c r="N56" s="958"/>
      <c r="O56" s="958"/>
      <c r="P56" s="958"/>
      <c r="Q56" s="2072"/>
      <c r="R56" s="2072"/>
      <c r="S56" s="2072"/>
      <c r="T56" s="2072"/>
      <c r="U56" s="2072"/>
      <c r="V56" s="957"/>
      <c r="W56" s="2072"/>
      <c r="X56" s="959"/>
      <c r="Y56" s="2071"/>
    </row>
    <row r="57" spans="1:25" s="969" customFormat="1" ht="15" customHeight="1">
      <c r="A57" s="2088"/>
      <c r="B57" s="2089">
        <v>3613</v>
      </c>
      <c r="C57" s="2089">
        <v>2322</v>
      </c>
      <c r="D57" s="2090" t="s">
        <v>1526</v>
      </c>
      <c r="E57" s="2091"/>
      <c r="F57" s="2091"/>
      <c r="G57" s="2091"/>
      <c r="H57" s="2091"/>
      <c r="I57" s="2091"/>
      <c r="J57" s="2091"/>
      <c r="K57" s="2091"/>
      <c r="L57" s="2091"/>
      <c r="M57" s="2091">
        <v>13000</v>
      </c>
      <c r="N57" s="958"/>
      <c r="O57" s="958"/>
      <c r="P57" s="958"/>
      <c r="Q57" s="2072"/>
      <c r="R57" s="2072"/>
      <c r="S57" s="2072"/>
      <c r="T57" s="2072"/>
      <c r="U57" s="2072"/>
      <c r="V57" s="957"/>
      <c r="W57" s="2072"/>
      <c r="X57" s="959"/>
      <c r="Y57" s="2071"/>
    </row>
    <row r="58" spans="1:25" s="969" customFormat="1" ht="15" customHeight="1">
      <c r="A58" s="2088"/>
      <c r="B58" s="2089">
        <v>3613</v>
      </c>
      <c r="C58" s="2089">
        <v>3113</v>
      </c>
      <c r="D58" s="2090" t="s">
        <v>2962</v>
      </c>
      <c r="E58" s="2091"/>
      <c r="F58" s="2091"/>
      <c r="G58" s="2091"/>
      <c r="H58" s="2091"/>
      <c r="I58" s="2091"/>
      <c r="J58" s="2091"/>
      <c r="K58" s="2091"/>
      <c r="L58" s="2091"/>
      <c r="M58" s="2091">
        <v>3500</v>
      </c>
      <c r="N58" s="958"/>
      <c r="O58" s="958"/>
      <c r="P58" s="958"/>
      <c r="Q58" s="2072"/>
      <c r="R58" s="2072"/>
      <c r="S58" s="2072"/>
      <c r="T58" s="2072"/>
      <c r="U58" s="2072"/>
      <c r="V58" s="957"/>
      <c r="W58" s="2072"/>
      <c r="X58" s="959"/>
      <c r="Y58" s="2071"/>
    </row>
    <row r="59" spans="1:25" s="969" customFormat="1" ht="15" customHeight="1">
      <c r="A59" s="2088">
        <v>3613</v>
      </c>
      <c r="B59" s="2089">
        <v>3613</v>
      </c>
      <c r="C59" s="2089">
        <v>2132</v>
      </c>
      <c r="D59" s="2090" t="s">
        <v>55</v>
      </c>
      <c r="E59" s="2091">
        <v>400000</v>
      </c>
      <c r="F59" s="2091">
        <v>400000</v>
      </c>
      <c r="G59" s="2091">
        <v>400000</v>
      </c>
      <c r="H59" s="2091">
        <v>400000</v>
      </c>
      <c r="I59" s="2091">
        <v>400000</v>
      </c>
      <c r="J59" s="2091">
        <v>400000</v>
      </c>
      <c r="K59" s="2091">
        <v>400000</v>
      </c>
      <c r="L59" s="2091">
        <v>400000</v>
      </c>
      <c r="M59" s="2091">
        <v>648813</v>
      </c>
      <c r="N59" s="958"/>
      <c r="O59" s="958"/>
      <c r="P59" s="958"/>
      <c r="Q59" s="2072"/>
      <c r="R59" s="2072"/>
      <c r="S59" s="2072"/>
      <c r="T59" s="2072"/>
      <c r="U59" s="2072"/>
      <c r="V59" s="957"/>
      <c r="W59" s="2072"/>
      <c r="X59" s="959"/>
      <c r="Y59" s="2071"/>
    </row>
    <row r="60" spans="1:25" s="969" customFormat="1" ht="15" customHeight="1">
      <c r="A60" s="2088"/>
      <c r="B60" s="2089">
        <v>5311</v>
      </c>
      <c r="C60" s="2089">
        <v>2212</v>
      </c>
      <c r="D60" s="2090" t="s">
        <v>1226</v>
      </c>
      <c r="E60" s="2091"/>
      <c r="F60" s="2091"/>
      <c r="G60" s="2091"/>
      <c r="H60" s="2091"/>
      <c r="I60" s="2091"/>
      <c r="J60" s="2091"/>
      <c r="K60" s="2091"/>
      <c r="L60" s="2091"/>
      <c r="M60" s="2091">
        <v>372000</v>
      </c>
      <c r="N60" s="958"/>
      <c r="O60" s="958"/>
      <c r="P60" s="958"/>
      <c r="Q60" s="2072"/>
      <c r="R60" s="2072"/>
      <c r="S60" s="2072"/>
      <c r="T60" s="2072"/>
      <c r="U60" s="2072"/>
      <c r="V60" s="957"/>
      <c r="W60" s="2072"/>
      <c r="X60" s="959"/>
      <c r="Y60" s="2071"/>
    </row>
    <row r="61" spans="1:25" s="2072" customFormat="1" ht="15" customHeight="1">
      <c r="A61" s="2100" t="s">
        <v>197</v>
      </c>
      <c r="B61" s="2085">
        <v>3613</v>
      </c>
      <c r="C61" s="2085">
        <v>2132</v>
      </c>
      <c r="D61" s="2086" t="s">
        <v>488</v>
      </c>
      <c r="E61" s="2081">
        <v>1063000</v>
      </c>
      <c r="F61" s="2081">
        <v>1063000</v>
      </c>
      <c r="G61" s="2081">
        <v>1063000</v>
      </c>
      <c r="H61" s="2081">
        <v>1063000</v>
      </c>
      <c r="I61" s="2081">
        <v>1063000</v>
      </c>
      <c r="J61" s="2081">
        <v>1063000</v>
      </c>
      <c r="K61" s="2081">
        <v>1063000</v>
      </c>
      <c r="L61" s="2081">
        <v>1063000</v>
      </c>
      <c r="M61" s="2081">
        <v>1340000</v>
      </c>
      <c r="N61" s="958"/>
      <c r="O61" s="958"/>
      <c r="P61" s="958"/>
      <c r="V61" s="957"/>
      <c r="X61" s="958"/>
    </row>
    <row r="62" spans="1:25" s="2072" customFormat="1" ht="15" customHeight="1">
      <c r="A62" s="3120">
        <v>3631</v>
      </c>
      <c r="B62" s="2097">
        <v>3631</v>
      </c>
      <c r="C62" s="2097">
        <v>2111</v>
      </c>
      <c r="D62" s="2098" t="s">
        <v>2966</v>
      </c>
      <c r="E62" s="2091"/>
      <c r="F62" s="2091"/>
      <c r="G62" s="2091"/>
      <c r="H62" s="2091"/>
      <c r="I62" s="2091"/>
      <c r="J62" s="2091"/>
      <c r="K62" s="2091"/>
      <c r="L62" s="2091"/>
      <c r="M62" s="2091">
        <v>20000</v>
      </c>
      <c r="N62" s="958"/>
      <c r="O62" s="958"/>
      <c r="P62" s="958"/>
      <c r="V62" s="957"/>
      <c r="X62" s="958"/>
    </row>
    <row r="63" spans="1:25" s="2072" customFormat="1" ht="15" customHeight="1">
      <c r="A63" s="3120"/>
      <c r="B63" s="2097">
        <v>3631</v>
      </c>
      <c r="C63" s="2097">
        <v>2322</v>
      </c>
      <c r="D63" s="2098" t="s">
        <v>1526</v>
      </c>
      <c r="E63" s="2091"/>
      <c r="F63" s="2091"/>
      <c r="G63" s="2091"/>
      <c r="H63" s="2091"/>
      <c r="I63" s="2091"/>
      <c r="J63" s="2091"/>
      <c r="K63" s="2091"/>
      <c r="L63" s="2091"/>
      <c r="M63" s="2091">
        <v>36000</v>
      </c>
      <c r="N63" s="958"/>
      <c r="O63" s="958"/>
      <c r="P63" s="958"/>
      <c r="V63" s="957"/>
      <c r="X63" s="958"/>
    </row>
    <row r="64" spans="1:25" s="969" customFormat="1" ht="15" customHeight="1">
      <c r="A64" s="2088">
        <v>3632</v>
      </c>
      <c r="B64" s="2089">
        <v>3632</v>
      </c>
      <c r="C64" s="2089">
        <v>2111</v>
      </c>
      <c r="D64" s="2090" t="s">
        <v>56</v>
      </c>
      <c r="E64" s="2091">
        <v>250000</v>
      </c>
      <c r="F64" s="2091">
        <v>250000</v>
      </c>
      <c r="G64" s="2091">
        <v>250000</v>
      </c>
      <c r="H64" s="2091">
        <v>250000</v>
      </c>
      <c r="I64" s="2091">
        <v>250000</v>
      </c>
      <c r="J64" s="2091">
        <v>250000</v>
      </c>
      <c r="K64" s="2091">
        <v>250000</v>
      </c>
      <c r="L64" s="2091">
        <v>250000</v>
      </c>
      <c r="M64" s="2091">
        <v>403000</v>
      </c>
      <c r="N64" s="958"/>
      <c r="O64" s="958"/>
      <c r="P64" s="958"/>
      <c r="Q64" s="2072"/>
      <c r="R64" s="2072"/>
      <c r="S64" s="2072"/>
      <c r="T64" s="2072"/>
      <c r="U64" s="2072"/>
      <c r="V64" s="957"/>
      <c r="W64" s="2072"/>
      <c r="X64" s="959"/>
      <c r="Y64" s="2071"/>
    </row>
    <row r="65" spans="1:25" s="969" customFormat="1" ht="15" customHeight="1">
      <c r="A65" s="2088"/>
      <c r="B65" s="2089">
        <v>3749</v>
      </c>
      <c r="C65" s="2089">
        <v>2321</v>
      </c>
      <c r="D65" s="2090" t="s">
        <v>1527</v>
      </c>
      <c r="E65" s="2091">
        <v>300000</v>
      </c>
      <c r="F65" s="2091"/>
      <c r="G65" s="2091"/>
      <c r="H65" s="2091"/>
      <c r="I65" s="2091"/>
      <c r="J65" s="2091"/>
      <c r="K65" s="2091"/>
      <c r="L65" s="2091"/>
      <c r="M65" s="2091"/>
      <c r="N65" s="958"/>
      <c r="O65" s="958"/>
      <c r="P65" s="958"/>
      <c r="Q65" s="2072"/>
      <c r="R65" s="2072"/>
      <c r="S65" s="2072"/>
      <c r="T65" s="2072"/>
      <c r="U65" s="2072"/>
      <c r="V65" s="957"/>
      <c r="W65" s="2072"/>
      <c r="X65" s="959"/>
      <c r="Y65" s="2071"/>
    </row>
    <row r="66" spans="1:25" s="969" customFormat="1" ht="15" customHeight="1">
      <c r="A66" s="2088"/>
      <c r="B66" s="2089">
        <v>3749</v>
      </c>
      <c r="C66" s="2089">
        <v>2322</v>
      </c>
      <c r="D66" s="2090" t="s">
        <v>1526</v>
      </c>
      <c r="E66" s="2091">
        <v>0</v>
      </c>
      <c r="F66" s="2091">
        <v>0</v>
      </c>
      <c r="G66" s="2091">
        <v>0</v>
      </c>
      <c r="H66" s="2091">
        <v>0</v>
      </c>
      <c r="I66" s="2091">
        <v>0</v>
      </c>
      <c r="J66" s="2091">
        <v>0</v>
      </c>
      <c r="K66" s="2091">
        <v>0</v>
      </c>
      <c r="L66" s="2091">
        <v>0</v>
      </c>
      <c r="M66" s="2091">
        <v>745000</v>
      </c>
      <c r="N66" s="958"/>
      <c r="O66" s="958"/>
      <c r="P66" s="958"/>
      <c r="Q66" s="2072"/>
      <c r="R66" s="2072"/>
      <c r="S66" s="2072"/>
      <c r="T66" s="2072"/>
      <c r="U66" s="2072"/>
      <c r="V66" s="957"/>
      <c r="W66" s="2072"/>
      <c r="X66" s="959"/>
      <c r="Y66" s="2071"/>
    </row>
    <row r="67" spans="1:25" s="969" customFormat="1" ht="15" customHeight="1">
      <c r="A67" s="2100">
        <v>3722</v>
      </c>
      <c r="B67" s="2085">
        <v>3722</v>
      </c>
      <c r="C67" s="2085" t="s">
        <v>44</v>
      </c>
      <c r="D67" s="2086" t="s">
        <v>2557</v>
      </c>
      <c r="E67" s="2081">
        <v>1950000</v>
      </c>
      <c r="F67" s="2081">
        <v>1950000</v>
      </c>
      <c r="G67" s="2081">
        <v>1950000</v>
      </c>
      <c r="H67" s="2081">
        <v>1950000</v>
      </c>
      <c r="I67" s="2081">
        <v>1950000</v>
      </c>
      <c r="J67" s="2081">
        <v>1950000</v>
      </c>
      <c r="K67" s="2081">
        <v>1950000</v>
      </c>
      <c r="L67" s="2081">
        <v>1950000</v>
      </c>
      <c r="M67" s="2081">
        <v>3090000</v>
      </c>
      <c r="N67" s="958"/>
      <c r="O67" s="958"/>
      <c r="P67" s="958"/>
      <c r="Q67" s="2072"/>
      <c r="R67" s="2072"/>
      <c r="S67" s="2072"/>
      <c r="T67" s="2072"/>
      <c r="U67" s="2072"/>
      <c r="V67" s="957"/>
      <c r="W67" s="2072"/>
      <c r="X67" s="959"/>
      <c r="Y67" s="2071"/>
    </row>
    <row r="68" spans="1:25" s="969" customFormat="1" ht="15" customHeight="1">
      <c r="A68" s="2088">
        <v>4351</v>
      </c>
      <c r="B68" s="2089">
        <v>4351</v>
      </c>
      <c r="C68" s="2089" t="s">
        <v>44</v>
      </c>
      <c r="D68" s="2090" t="s">
        <v>477</v>
      </c>
      <c r="E68" s="2091">
        <v>600000</v>
      </c>
      <c r="F68" s="2091">
        <v>600000</v>
      </c>
      <c r="G68" s="2091">
        <v>600000</v>
      </c>
      <c r="H68" s="2091">
        <v>600000</v>
      </c>
      <c r="I68" s="2091">
        <v>600000</v>
      </c>
      <c r="J68" s="2091">
        <v>600000</v>
      </c>
      <c r="K68" s="2091">
        <v>600000</v>
      </c>
      <c r="L68" s="2091">
        <v>600000</v>
      </c>
      <c r="M68" s="2091">
        <v>741000</v>
      </c>
      <c r="N68" s="958"/>
      <c r="O68" s="958"/>
      <c r="P68" s="958"/>
      <c r="Q68" s="2072"/>
      <c r="R68" s="2072"/>
      <c r="S68" s="2072"/>
      <c r="T68" s="2072"/>
      <c r="U68" s="2072"/>
      <c r="V68" s="957"/>
      <c r="W68" s="2072"/>
      <c r="X68" s="959"/>
      <c r="Y68" s="2071"/>
    </row>
    <row r="69" spans="1:25" s="969" customFormat="1" ht="15" customHeight="1">
      <c r="A69" s="2088"/>
      <c r="B69" s="2089">
        <v>5512</v>
      </c>
      <c r="C69" s="2089">
        <v>2111</v>
      </c>
      <c r="D69" s="2090" t="s">
        <v>741</v>
      </c>
      <c r="E69" s="2091">
        <v>20000</v>
      </c>
      <c r="F69" s="2091">
        <v>20000</v>
      </c>
      <c r="G69" s="2091">
        <v>20000</v>
      </c>
      <c r="H69" s="2091">
        <v>20000</v>
      </c>
      <c r="I69" s="2091">
        <v>20000</v>
      </c>
      <c r="J69" s="2091">
        <v>20000</v>
      </c>
      <c r="K69" s="2091">
        <v>20000</v>
      </c>
      <c r="L69" s="2091">
        <v>20000</v>
      </c>
      <c r="M69" s="2091">
        <v>11000</v>
      </c>
      <c r="N69" s="958"/>
      <c r="O69" s="958"/>
      <c r="P69" s="958"/>
      <c r="Q69" s="2072"/>
      <c r="R69" s="2072"/>
      <c r="S69" s="2072"/>
      <c r="T69" s="2072"/>
      <c r="U69" s="2072"/>
      <c r="V69" s="957"/>
      <c r="W69" s="2072"/>
      <c r="X69" s="959"/>
      <c r="Y69" s="2071"/>
    </row>
    <row r="70" spans="1:25" s="969" customFormat="1" ht="15" customHeight="1">
      <c r="A70" s="2088"/>
      <c r="B70" s="2089">
        <v>6171</v>
      </c>
      <c r="C70" s="2089">
        <v>2321</v>
      </c>
      <c r="D70" s="2090" t="s">
        <v>1427</v>
      </c>
      <c r="E70" s="2091">
        <v>0</v>
      </c>
      <c r="F70" s="2091">
        <v>0</v>
      </c>
      <c r="G70" s="2091">
        <v>0</v>
      </c>
      <c r="H70" s="2091">
        <v>0</v>
      </c>
      <c r="I70" s="2091">
        <v>0</v>
      </c>
      <c r="J70" s="2091">
        <v>0</v>
      </c>
      <c r="K70" s="2091">
        <v>0</v>
      </c>
      <c r="L70" s="2091">
        <v>0</v>
      </c>
      <c r="M70" s="2091">
        <v>59000</v>
      </c>
      <c r="N70" s="958"/>
      <c r="O70" s="958"/>
      <c r="P70" s="958"/>
      <c r="Q70" s="2072"/>
      <c r="R70" s="2072"/>
      <c r="S70" s="2072"/>
      <c r="T70" s="2072"/>
      <c r="U70" s="2072"/>
      <c r="V70" s="957"/>
      <c r="W70" s="2072"/>
      <c r="X70" s="959"/>
      <c r="Y70" s="2071"/>
    </row>
    <row r="71" spans="1:25" s="969" customFormat="1" ht="15" customHeight="1">
      <c r="A71" s="2088">
        <v>6221</v>
      </c>
      <c r="B71" s="2089">
        <v>6221</v>
      </c>
      <c r="C71" s="2089">
        <v>2324</v>
      </c>
      <c r="D71" s="2090" t="s">
        <v>2978</v>
      </c>
      <c r="E71" s="2091">
        <v>292800</v>
      </c>
      <c r="F71" s="2091"/>
      <c r="G71" s="2091"/>
      <c r="H71" s="2091"/>
      <c r="I71" s="2091"/>
      <c r="J71" s="2091"/>
      <c r="K71" s="2091"/>
      <c r="L71" s="2091"/>
      <c r="M71" s="2091"/>
      <c r="N71" s="958"/>
      <c r="O71" s="958"/>
      <c r="P71" s="958"/>
      <c r="Q71" s="2072"/>
      <c r="R71" s="2072"/>
      <c r="S71" s="2072"/>
      <c r="T71" s="2072"/>
      <c r="U71" s="2072"/>
      <c r="V71" s="957"/>
      <c r="W71" s="2072"/>
      <c r="X71" s="959"/>
      <c r="Y71" s="2071"/>
    </row>
    <row r="72" spans="1:25" s="969" customFormat="1" ht="15" customHeight="1">
      <c r="A72" s="2088"/>
      <c r="B72" s="2089">
        <v>6221</v>
      </c>
      <c r="C72" s="2089">
        <v>2321</v>
      </c>
      <c r="D72" s="2090" t="s">
        <v>1498</v>
      </c>
      <c r="E72" s="2091">
        <v>0</v>
      </c>
      <c r="F72" s="2091">
        <v>0</v>
      </c>
      <c r="G72" s="2091">
        <v>0</v>
      </c>
      <c r="H72" s="2091">
        <v>0</v>
      </c>
      <c r="I72" s="2091">
        <v>0</v>
      </c>
      <c r="J72" s="2091">
        <v>0</v>
      </c>
      <c r="K72" s="2091">
        <v>0</v>
      </c>
      <c r="L72" s="2091">
        <v>0</v>
      </c>
      <c r="M72" s="2091">
        <v>0</v>
      </c>
      <c r="N72" s="958"/>
      <c r="O72" s="958"/>
      <c r="P72" s="958"/>
      <c r="Q72" s="2072"/>
      <c r="R72" s="2072"/>
      <c r="S72" s="2072"/>
      <c r="T72" s="2072"/>
      <c r="U72" s="2072"/>
      <c r="V72" s="957"/>
      <c r="W72" s="2072"/>
      <c r="X72" s="959"/>
      <c r="Y72" s="2071"/>
    </row>
    <row r="73" spans="1:25" s="969" customFormat="1" ht="15" customHeight="1">
      <c r="A73" s="2088"/>
      <c r="B73" s="2089">
        <v>5512</v>
      </c>
      <c r="C73" s="2089">
        <v>2132</v>
      </c>
      <c r="D73" s="2090" t="s">
        <v>742</v>
      </c>
      <c r="E73" s="2091">
        <v>24000</v>
      </c>
      <c r="F73" s="2091">
        <v>24000</v>
      </c>
      <c r="G73" s="2091">
        <v>24000</v>
      </c>
      <c r="H73" s="2091">
        <v>24000</v>
      </c>
      <c r="I73" s="2091">
        <v>24000</v>
      </c>
      <c r="J73" s="2091">
        <v>24000</v>
      </c>
      <c r="K73" s="2091">
        <v>24000</v>
      </c>
      <c r="L73" s="2091">
        <v>24000</v>
      </c>
      <c r="M73" s="2091">
        <v>46300</v>
      </c>
      <c r="N73" s="958"/>
      <c r="O73" s="958"/>
      <c r="P73" s="958"/>
      <c r="Q73" s="2072"/>
      <c r="R73" s="2072"/>
      <c r="S73" s="2072"/>
      <c r="T73" s="2072"/>
      <c r="U73" s="2072"/>
      <c r="V73" s="957"/>
      <c r="W73" s="2072"/>
      <c r="X73" s="959"/>
      <c r="Y73" s="2071"/>
    </row>
    <row r="74" spans="1:25" s="969" customFormat="1" ht="15" customHeight="1">
      <c r="A74" s="2088"/>
      <c r="B74" s="2089">
        <v>6171</v>
      </c>
      <c r="C74" s="2089">
        <v>2111</v>
      </c>
      <c r="D74" s="2090" t="s">
        <v>57</v>
      </c>
      <c r="E74" s="2091">
        <v>17000</v>
      </c>
      <c r="F74" s="2091">
        <v>17000</v>
      </c>
      <c r="G74" s="2091">
        <v>17000</v>
      </c>
      <c r="H74" s="2091">
        <v>17000</v>
      </c>
      <c r="I74" s="2091">
        <v>17000</v>
      </c>
      <c r="J74" s="2091">
        <v>17000</v>
      </c>
      <c r="K74" s="2091">
        <v>17000</v>
      </c>
      <c r="L74" s="2091">
        <v>17000</v>
      </c>
      <c r="M74" s="2091">
        <v>17000</v>
      </c>
      <c r="N74" s="958"/>
      <c r="O74" s="958"/>
      <c r="P74" s="958"/>
      <c r="Q74" s="2072"/>
      <c r="R74" s="2072"/>
      <c r="S74" s="2072"/>
      <c r="T74" s="2072"/>
      <c r="U74" s="2072"/>
      <c r="V74" s="957"/>
      <c r="W74" s="2072"/>
      <c r="X74" s="959"/>
      <c r="Y74" s="2071"/>
    </row>
    <row r="75" spans="1:25" s="969" customFormat="1" ht="15" customHeight="1">
      <c r="A75" s="2088"/>
      <c r="B75" s="2089"/>
      <c r="C75" s="2089">
        <v>2111</v>
      </c>
      <c r="D75" s="2090" t="s">
        <v>1224</v>
      </c>
      <c r="E75" s="2091"/>
      <c r="F75" s="2091">
        <v>0</v>
      </c>
      <c r="G75" s="2091">
        <v>0</v>
      </c>
      <c r="H75" s="2091">
        <v>0</v>
      </c>
      <c r="I75" s="2091">
        <v>0</v>
      </c>
      <c r="J75" s="2091">
        <v>0</v>
      </c>
      <c r="K75" s="2091">
        <v>0</v>
      </c>
      <c r="L75" s="2091">
        <v>0</v>
      </c>
      <c r="M75" s="2091">
        <v>0</v>
      </c>
      <c r="N75" s="958"/>
      <c r="O75" s="958"/>
      <c r="P75" s="958"/>
      <c r="Q75" s="2072"/>
      <c r="R75" s="2072"/>
      <c r="S75" s="2072"/>
      <c r="T75" s="2072"/>
      <c r="U75" s="2072"/>
      <c r="V75" s="957"/>
      <c r="W75" s="2072"/>
      <c r="X75" s="959"/>
      <c r="Y75" s="2071"/>
    </row>
    <row r="76" spans="1:25" s="969" customFormat="1" ht="15" customHeight="1">
      <c r="A76" s="2088"/>
      <c r="B76" s="2089"/>
      <c r="C76" s="2089">
        <v>2322</v>
      </c>
      <c r="D76" s="2090" t="s">
        <v>553</v>
      </c>
      <c r="E76" s="2091"/>
      <c r="F76" s="2091">
        <v>0</v>
      </c>
      <c r="G76" s="2091">
        <v>0</v>
      </c>
      <c r="H76" s="2091">
        <v>0</v>
      </c>
      <c r="I76" s="2091">
        <v>0</v>
      </c>
      <c r="J76" s="2091">
        <v>0</v>
      </c>
      <c r="K76" s="2091">
        <v>0</v>
      </c>
      <c r="L76" s="2091">
        <v>0</v>
      </c>
      <c r="M76" s="2091">
        <v>0</v>
      </c>
      <c r="N76" s="958"/>
      <c r="O76" s="958"/>
      <c r="P76" s="958"/>
      <c r="Q76" s="2072"/>
      <c r="R76" s="2072"/>
      <c r="S76" s="2072"/>
      <c r="T76" s="2072"/>
      <c r="U76" s="2072"/>
      <c r="V76" s="957"/>
      <c r="W76" s="2072"/>
      <c r="X76" s="959"/>
      <c r="Y76" s="2071"/>
    </row>
    <row r="77" spans="1:25" s="969" customFormat="1" ht="15" customHeight="1">
      <c r="A77" s="2088"/>
      <c r="B77" s="2089"/>
      <c r="C77" s="2089">
        <v>2321</v>
      </c>
      <c r="D77" s="2090" t="s">
        <v>2979</v>
      </c>
      <c r="E77" s="2091"/>
      <c r="F77" s="2091">
        <v>0</v>
      </c>
      <c r="G77" s="2091">
        <v>0</v>
      </c>
      <c r="H77" s="2091">
        <v>0</v>
      </c>
      <c r="I77" s="2091">
        <v>0</v>
      </c>
      <c r="J77" s="2091">
        <v>0</v>
      </c>
      <c r="K77" s="2091">
        <v>0</v>
      </c>
      <c r="L77" s="2091">
        <v>0</v>
      </c>
      <c r="M77" s="2091">
        <v>0</v>
      </c>
      <c r="N77" s="958"/>
      <c r="O77" s="958"/>
      <c r="P77" s="958"/>
      <c r="Q77" s="2072"/>
      <c r="R77" s="2072"/>
      <c r="S77" s="2072"/>
      <c r="T77" s="2072"/>
      <c r="U77" s="2072"/>
      <c r="V77" s="957"/>
      <c r="W77" s="2072"/>
      <c r="X77" s="959"/>
      <c r="Y77" s="2071"/>
    </row>
    <row r="78" spans="1:25" s="969" customFormat="1" ht="15" customHeight="1">
      <c r="A78" s="2088"/>
      <c r="B78" s="2089"/>
      <c r="C78" s="2089">
        <v>2322</v>
      </c>
      <c r="D78" s="2090" t="s">
        <v>553</v>
      </c>
      <c r="E78" s="2091"/>
      <c r="F78" s="2091">
        <v>0</v>
      </c>
      <c r="G78" s="2091">
        <v>0</v>
      </c>
      <c r="H78" s="2091">
        <v>0</v>
      </c>
      <c r="I78" s="2091">
        <v>0</v>
      </c>
      <c r="J78" s="2091">
        <v>0</v>
      </c>
      <c r="K78" s="2091">
        <v>0</v>
      </c>
      <c r="L78" s="2091">
        <v>0</v>
      </c>
      <c r="M78" s="2091">
        <v>0</v>
      </c>
      <c r="N78" s="958"/>
      <c r="O78" s="958"/>
      <c r="P78" s="958"/>
      <c r="Q78" s="2072"/>
      <c r="R78" s="2072"/>
      <c r="S78" s="2072"/>
      <c r="T78" s="2072"/>
      <c r="U78" s="2072"/>
      <c r="V78" s="957"/>
      <c r="W78" s="2072"/>
      <c r="X78" s="959"/>
      <c r="Y78" s="2071"/>
    </row>
    <row r="79" spans="1:25" s="969" customFormat="1" ht="15" customHeight="1">
      <c r="A79" s="2088"/>
      <c r="B79" s="2089"/>
      <c r="C79" s="2089">
        <v>2322</v>
      </c>
      <c r="D79" s="2090" t="s">
        <v>553</v>
      </c>
      <c r="E79" s="2091"/>
      <c r="F79" s="2091">
        <v>0</v>
      </c>
      <c r="G79" s="2091">
        <v>0</v>
      </c>
      <c r="H79" s="2091">
        <v>0</v>
      </c>
      <c r="I79" s="2091">
        <v>0</v>
      </c>
      <c r="J79" s="2091">
        <v>0</v>
      </c>
      <c r="K79" s="2091">
        <v>0</v>
      </c>
      <c r="L79" s="2091">
        <v>0</v>
      </c>
      <c r="M79" s="2091">
        <v>0</v>
      </c>
      <c r="N79" s="958"/>
      <c r="O79" s="958"/>
      <c r="P79" s="958"/>
      <c r="Q79" s="2072"/>
      <c r="R79" s="2072"/>
      <c r="S79" s="2072"/>
      <c r="T79" s="2072"/>
      <c r="U79" s="2072"/>
      <c r="V79" s="957"/>
      <c r="W79" s="2072"/>
      <c r="X79" s="959"/>
      <c r="Y79" s="2071"/>
    </row>
    <row r="80" spans="1:25" s="969" customFormat="1" ht="15" customHeight="1">
      <c r="A80" s="2088"/>
      <c r="B80" s="2089">
        <v>6171</v>
      </c>
      <c r="C80" s="2089">
        <v>2112</v>
      </c>
      <c r="D80" s="2090" t="s">
        <v>2963</v>
      </c>
      <c r="E80" s="2091"/>
      <c r="F80" s="2091"/>
      <c r="G80" s="2091"/>
      <c r="H80" s="2091"/>
      <c r="I80" s="2091"/>
      <c r="J80" s="2091"/>
      <c r="K80" s="2091"/>
      <c r="L80" s="2091"/>
      <c r="M80" s="2091">
        <v>5000</v>
      </c>
      <c r="N80" s="958"/>
      <c r="O80" s="958"/>
      <c r="P80" s="958"/>
      <c r="Q80" s="2072"/>
      <c r="R80" s="2072"/>
      <c r="S80" s="2072"/>
      <c r="T80" s="2072"/>
      <c r="U80" s="2072"/>
      <c r="V80" s="957"/>
      <c r="W80" s="2072"/>
      <c r="X80" s="959"/>
      <c r="Y80" s="2071"/>
    </row>
    <row r="81" spans="1:25" s="969" customFormat="1" ht="15" customHeight="1">
      <c r="A81" s="2088"/>
      <c r="B81" s="2089"/>
      <c r="C81" s="2089">
        <v>2322</v>
      </c>
      <c r="D81" s="2090" t="s">
        <v>225</v>
      </c>
      <c r="E81" s="2091"/>
      <c r="F81" s="2091">
        <v>0</v>
      </c>
      <c r="G81" s="2091">
        <v>0</v>
      </c>
      <c r="H81" s="2091">
        <v>0</v>
      </c>
      <c r="I81" s="2091">
        <v>0</v>
      </c>
      <c r="J81" s="2091">
        <v>0</v>
      </c>
      <c r="K81" s="2091">
        <v>0</v>
      </c>
      <c r="L81" s="2091">
        <v>0</v>
      </c>
      <c r="M81" s="2091">
        <v>42000</v>
      </c>
      <c r="N81" s="958"/>
      <c r="O81" s="958"/>
      <c r="P81" s="958"/>
      <c r="Q81" s="2072"/>
      <c r="R81" s="2072"/>
      <c r="S81" s="2072"/>
      <c r="T81" s="2072"/>
      <c r="U81" s="2072"/>
      <c r="V81" s="957"/>
      <c r="W81" s="2072"/>
      <c r="X81" s="959"/>
      <c r="Y81" s="2071"/>
    </row>
    <row r="82" spans="1:25" s="969" customFormat="1" ht="15" customHeight="1">
      <c r="A82" s="2088"/>
      <c r="B82" s="2089"/>
      <c r="C82" s="2089">
        <v>2212</v>
      </c>
      <c r="D82" s="2090" t="s">
        <v>1227</v>
      </c>
      <c r="E82" s="2091"/>
      <c r="F82" s="2091">
        <v>0</v>
      </c>
      <c r="G82" s="2091">
        <v>0</v>
      </c>
      <c r="H82" s="2091">
        <v>0</v>
      </c>
      <c r="I82" s="2091">
        <v>0</v>
      </c>
      <c r="J82" s="2091">
        <v>0</v>
      </c>
      <c r="K82" s="2091">
        <v>0</v>
      </c>
      <c r="L82" s="2091">
        <v>0</v>
      </c>
      <c r="M82" s="2091">
        <v>0</v>
      </c>
      <c r="N82" s="958"/>
      <c r="O82" s="958"/>
      <c r="P82" s="958"/>
      <c r="Q82" s="2072"/>
      <c r="R82" s="2072"/>
      <c r="S82" s="2072"/>
      <c r="T82" s="2072"/>
      <c r="U82" s="2072"/>
      <c r="V82" s="957"/>
      <c r="W82" s="2072"/>
      <c r="X82" s="959"/>
      <c r="Y82" s="2071"/>
    </row>
    <row r="83" spans="1:25" s="969" customFormat="1" ht="15" customHeight="1">
      <c r="A83" s="2088"/>
      <c r="B83" s="2089">
        <v>6310</v>
      </c>
      <c r="C83" s="2089">
        <v>2212</v>
      </c>
      <c r="D83" s="2090" t="s">
        <v>2964</v>
      </c>
      <c r="E83" s="2091"/>
      <c r="F83" s="2091"/>
      <c r="G83" s="2091"/>
      <c r="H83" s="2091"/>
      <c r="I83" s="2091"/>
      <c r="J83" s="2091"/>
      <c r="K83" s="2091"/>
      <c r="L83" s="2091"/>
      <c r="M83" s="2091">
        <v>333000</v>
      </c>
      <c r="N83" s="958"/>
      <c r="O83" s="958"/>
      <c r="P83" s="958"/>
      <c r="Q83" s="2072"/>
      <c r="R83" s="2072"/>
      <c r="S83" s="2072"/>
      <c r="T83" s="2072"/>
      <c r="U83" s="2072"/>
      <c r="V83" s="957"/>
      <c r="W83" s="2072"/>
      <c r="X83" s="959"/>
      <c r="Y83" s="2071"/>
    </row>
    <row r="84" spans="1:25" s="969" customFormat="1" ht="15" customHeight="1">
      <c r="A84" s="2088"/>
      <c r="B84" s="2089">
        <v>6310</v>
      </c>
      <c r="C84" s="2089">
        <v>2141</v>
      </c>
      <c r="D84" s="2090" t="s">
        <v>743</v>
      </c>
      <c r="E84" s="2091">
        <v>10000</v>
      </c>
      <c r="F84" s="2091">
        <v>10000</v>
      </c>
      <c r="G84" s="2091">
        <v>10000</v>
      </c>
      <c r="H84" s="2091">
        <v>10000</v>
      </c>
      <c r="I84" s="2091">
        <v>10000</v>
      </c>
      <c r="J84" s="2091">
        <v>10000</v>
      </c>
      <c r="K84" s="2091">
        <v>10000</v>
      </c>
      <c r="L84" s="2091">
        <v>10000</v>
      </c>
      <c r="M84" s="2091">
        <v>6000</v>
      </c>
      <c r="N84" s="958"/>
      <c r="O84" s="958"/>
      <c r="P84" s="958"/>
      <c r="Q84" s="2072"/>
      <c r="R84" s="2072"/>
      <c r="S84" s="2072"/>
      <c r="T84" s="2072"/>
      <c r="U84" s="2072"/>
      <c r="V84" s="957"/>
      <c r="W84" s="2072"/>
      <c r="X84" s="959"/>
      <c r="Y84" s="2071"/>
    </row>
    <row r="85" spans="1:25" s="969" customFormat="1" ht="15" customHeight="1">
      <c r="A85" s="2088"/>
      <c r="B85" s="2089">
        <v>6409</v>
      </c>
      <c r="C85" s="2089">
        <v>2132</v>
      </c>
      <c r="D85" s="2090" t="s">
        <v>483</v>
      </c>
      <c r="E85" s="2091">
        <v>4400</v>
      </c>
      <c r="F85" s="2091">
        <v>4400</v>
      </c>
      <c r="G85" s="2091">
        <v>4400</v>
      </c>
      <c r="H85" s="2091">
        <v>4400</v>
      </c>
      <c r="I85" s="2091">
        <v>4400</v>
      </c>
      <c r="J85" s="2091">
        <v>4400</v>
      </c>
      <c r="K85" s="2091">
        <v>4400</v>
      </c>
      <c r="L85" s="2091">
        <v>4400</v>
      </c>
      <c r="M85" s="2091">
        <v>4400</v>
      </c>
      <c r="N85" s="958"/>
      <c r="O85" s="958"/>
      <c r="P85" s="958"/>
      <c r="Q85" s="2072"/>
      <c r="R85" s="2072"/>
      <c r="S85" s="2072"/>
      <c r="T85" s="2072"/>
      <c r="U85" s="2072"/>
      <c r="V85" s="957"/>
      <c r="W85" s="2072"/>
      <c r="X85" s="959"/>
      <c r="Y85" s="2071"/>
    </row>
    <row r="86" spans="1:25" s="969" customFormat="1" ht="15" customHeight="1">
      <c r="A86" s="2088"/>
      <c r="B86" s="2089">
        <v>6409</v>
      </c>
      <c r="C86" s="2089" t="s">
        <v>58</v>
      </c>
      <c r="D86" s="2090" t="s">
        <v>59</v>
      </c>
      <c r="E86" s="2091">
        <v>65000</v>
      </c>
      <c r="F86" s="2091">
        <v>65000</v>
      </c>
      <c r="G86" s="2091">
        <v>65000</v>
      </c>
      <c r="H86" s="2091">
        <v>123478</v>
      </c>
      <c r="I86" s="2091">
        <v>123478</v>
      </c>
      <c r="J86" s="2091">
        <v>123478</v>
      </c>
      <c r="K86" s="2091">
        <v>123478</v>
      </c>
      <c r="L86" s="2091">
        <v>123478</v>
      </c>
      <c r="M86" s="2091">
        <v>123478</v>
      </c>
      <c r="N86" s="958"/>
      <c r="O86" s="958"/>
      <c r="P86" s="958"/>
      <c r="Q86" s="2072"/>
      <c r="R86" s="2072"/>
      <c r="S86" s="2072"/>
      <c r="T86" s="2072"/>
      <c r="U86" s="2072"/>
      <c r="V86" s="957"/>
      <c r="W86" s="2072"/>
      <c r="X86" s="959"/>
      <c r="Y86" s="2071"/>
    </row>
    <row r="87" spans="1:25" s="969" customFormat="1" ht="15" customHeight="1">
      <c r="A87" s="2112">
        <v>6409</v>
      </c>
      <c r="B87" s="2113">
        <v>6409</v>
      </c>
      <c r="C87" s="2113">
        <v>2119</v>
      </c>
      <c r="D87" s="2114" t="s">
        <v>2665</v>
      </c>
      <c r="E87" s="2091">
        <v>300000</v>
      </c>
      <c r="F87" s="2091">
        <v>300000</v>
      </c>
      <c r="G87" s="2091">
        <v>300000</v>
      </c>
      <c r="H87" s="2091">
        <v>376213</v>
      </c>
      <c r="I87" s="2091">
        <v>376213</v>
      </c>
      <c r="J87" s="2091">
        <v>376213</v>
      </c>
      <c r="K87" s="2091">
        <v>376213</v>
      </c>
      <c r="L87" s="2091">
        <v>376213</v>
      </c>
      <c r="M87" s="3008">
        <v>596000</v>
      </c>
      <c r="N87" s="958"/>
      <c r="O87" s="958"/>
      <c r="P87" s="958"/>
      <c r="Q87" s="2072"/>
      <c r="R87" s="2072"/>
      <c r="S87" s="2072"/>
      <c r="T87" s="2072"/>
      <c r="U87" s="2072"/>
      <c r="V87" s="957"/>
      <c r="W87" s="2072"/>
      <c r="X87" s="959"/>
      <c r="Y87" s="2071"/>
    </row>
    <row r="88" spans="1:25" s="969" customFormat="1" ht="15" customHeight="1">
      <c r="A88" s="2115"/>
      <c r="B88" s="2116">
        <v>6409</v>
      </c>
      <c r="C88" s="2116">
        <v>3111</v>
      </c>
      <c r="D88" s="2117" t="s">
        <v>2561</v>
      </c>
      <c r="E88" s="2118"/>
      <c r="F88" s="2118"/>
      <c r="G88" s="2118"/>
      <c r="H88" s="2118"/>
      <c r="I88" s="2118"/>
      <c r="J88" s="2118">
        <v>13395560</v>
      </c>
      <c r="K88" s="2118">
        <v>13395560</v>
      </c>
      <c r="L88" s="2118">
        <v>0</v>
      </c>
      <c r="M88" s="3081">
        <v>81000</v>
      </c>
      <c r="N88" s="958"/>
      <c r="O88" s="958"/>
      <c r="P88" s="958"/>
      <c r="Q88" s="2072"/>
      <c r="R88" s="2072"/>
      <c r="S88" s="2072"/>
      <c r="T88" s="2072"/>
      <c r="U88" s="2072"/>
      <c r="V88" s="957"/>
      <c r="W88" s="2072"/>
      <c r="X88" s="959"/>
      <c r="Y88" s="2071"/>
    </row>
    <row r="89" spans="1:25" s="969" customFormat="1" ht="15" customHeight="1">
      <c r="A89" s="2088"/>
      <c r="B89" s="2089">
        <v>6409</v>
      </c>
      <c r="C89" s="2089">
        <v>3111</v>
      </c>
      <c r="D89" s="2090" t="s">
        <v>702</v>
      </c>
      <c r="E89" s="2091">
        <v>0</v>
      </c>
      <c r="F89" s="2091">
        <v>0</v>
      </c>
      <c r="G89" s="2091">
        <v>0</v>
      </c>
      <c r="H89" s="2091">
        <v>0</v>
      </c>
      <c r="I89" s="2091">
        <v>0</v>
      </c>
      <c r="J89" s="2091">
        <v>0</v>
      </c>
      <c r="K89" s="2091">
        <v>0</v>
      </c>
      <c r="L89" s="2091">
        <v>0</v>
      </c>
      <c r="M89" s="2091">
        <v>0</v>
      </c>
      <c r="N89" s="958"/>
      <c r="O89" s="958"/>
      <c r="P89" s="958"/>
      <c r="Q89" s="2072"/>
      <c r="R89" s="2072"/>
      <c r="S89" s="2072"/>
      <c r="T89" s="2072"/>
      <c r="U89" s="2072"/>
      <c r="V89" s="957"/>
      <c r="W89" s="2072"/>
      <c r="X89" s="2050"/>
      <c r="Y89" s="2071"/>
    </row>
    <row r="90" spans="1:25" s="969" customFormat="1" ht="15" customHeight="1">
      <c r="A90" s="2088">
        <v>2321</v>
      </c>
      <c r="B90" s="2089">
        <v>2321</v>
      </c>
      <c r="C90" s="2089" t="s">
        <v>44</v>
      </c>
      <c r="D90" s="2090" t="s">
        <v>61</v>
      </c>
      <c r="E90" s="2091">
        <v>0</v>
      </c>
      <c r="F90" s="2091">
        <v>0</v>
      </c>
      <c r="G90" s="2091">
        <v>0</v>
      </c>
      <c r="H90" s="2091">
        <v>0</v>
      </c>
      <c r="I90" s="2091">
        <v>0</v>
      </c>
      <c r="J90" s="2091">
        <v>0</v>
      </c>
      <c r="K90" s="2091">
        <v>0</v>
      </c>
      <c r="L90" s="2091">
        <v>0</v>
      </c>
      <c r="M90" s="2091">
        <v>0</v>
      </c>
      <c r="N90" s="958"/>
      <c r="O90" s="958"/>
      <c r="P90" s="958"/>
      <c r="Q90" s="2072"/>
      <c r="R90" s="2072"/>
      <c r="S90" s="2072"/>
      <c r="T90" s="2072"/>
      <c r="U90" s="2072"/>
      <c r="V90" s="957"/>
      <c r="W90" s="2072"/>
      <c r="X90" s="959"/>
      <c r="Y90" s="2071"/>
    </row>
    <row r="91" spans="1:25" s="969" customFormat="1" ht="15" customHeight="1">
      <c r="A91" s="2100" t="s">
        <v>12</v>
      </c>
      <c r="B91" s="2085"/>
      <c r="C91" s="2085">
        <v>4112</v>
      </c>
      <c r="D91" s="2086" t="s">
        <v>35</v>
      </c>
      <c r="E91" s="2081">
        <v>10108300</v>
      </c>
      <c r="F91" s="2081">
        <v>10108300</v>
      </c>
      <c r="G91" s="2081">
        <v>10095200</v>
      </c>
      <c r="H91" s="2081">
        <v>10095200</v>
      </c>
      <c r="I91" s="2081">
        <v>10095200</v>
      </c>
      <c r="J91" s="2081">
        <v>10095200</v>
      </c>
      <c r="K91" s="2081">
        <v>10095200</v>
      </c>
      <c r="L91" s="2081">
        <v>8491300</v>
      </c>
      <c r="M91" s="2081">
        <v>8491300</v>
      </c>
      <c r="N91" s="958"/>
      <c r="O91" s="958"/>
      <c r="P91" s="958"/>
      <c r="Q91" s="2072"/>
      <c r="R91" s="2072"/>
      <c r="S91" s="2072"/>
      <c r="T91" s="2072"/>
      <c r="U91" s="2072"/>
      <c r="V91" s="957"/>
      <c r="W91" s="2072"/>
      <c r="X91" s="959"/>
      <c r="Y91" s="2071"/>
    </row>
    <row r="92" spans="1:25" s="969" customFormat="1" ht="15" customHeight="1">
      <c r="A92" s="2088" t="s">
        <v>12</v>
      </c>
      <c r="B92" s="2089"/>
      <c r="C92" s="2089">
        <v>4111</v>
      </c>
      <c r="D92" s="2090" t="s">
        <v>2980</v>
      </c>
      <c r="E92" s="2091">
        <v>0</v>
      </c>
      <c r="F92" s="2091">
        <v>0</v>
      </c>
      <c r="G92" s="2091">
        <v>0</v>
      </c>
      <c r="H92" s="2091">
        <v>0</v>
      </c>
      <c r="I92" s="2091">
        <v>0</v>
      </c>
      <c r="J92" s="2091">
        <v>0</v>
      </c>
      <c r="K92" s="2091">
        <v>0</v>
      </c>
      <c r="L92" s="2091">
        <v>0</v>
      </c>
      <c r="M92" s="2091">
        <v>0</v>
      </c>
      <c r="N92" s="958"/>
      <c r="O92" s="958"/>
      <c r="P92" s="958"/>
      <c r="Q92" s="2072"/>
      <c r="R92" s="2072"/>
      <c r="S92" s="2072"/>
      <c r="T92" s="2072"/>
      <c r="U92" s="2072"/>
      <c r="V92" s="957"/>
      <c r="W92" s="2072"/>
      <c r="X92" s="959"/>
      <c r="Y92" s="2071"/>
    </row>
    <row r="93" spans="1:25" s="969" customFormat="1" ht="15" customHeight="1">
      <c r="A93" s="2088" t="s">
        <v>12</v>
      </c>
      <c r="B93" s="2089"/>
      <c r="C93" s="2089">
        <v>4121</v>
      </c>
      <c r="D93" s="2090" t="s">
        <v>2103</v>
      </c>
      <c r="E93" s="2091">
        <v>400000</v>
      </c>
      <c r="F93" s="2091">
        <v>100000</v>
      </c>
      <c r="G93" s="2091">
        <v>100000</v>
      </c>
      <c r="H93" s="2091">
        <v>100000</v>
      </c>
      <c r="I93" s="2091">
        <v>100000</v>
      </c>
      <c r="J93" s="2091">
        <v>100000</v>
      </c>
      <c r="K93" s="2091">
        <v>100000</v>
      </c>
      <c r="L93" s="2091">
        <v>100000</v>
      </c>
      <c r="M93" s="2091">
        <v>63200</v>
      </c>
      <c r="N93" s="958"/>
      <c r="O93" s="958"/>
      <c r="P93" s="958"/>
      <c r="Q93" s="2072"/>
      <c r="R93" s="2072"/>
      <c r="S93" s="2072"/>
      <c r="T93" s="2072"/>
      <c r="U93" s="2072"/>
      <c r="V93" s="957"/>
      <c r="W93" s="2072"/>
      <c r="X93" s="959"/>
      <c r="Y93" s="2071"/>
    </row>
    <row r="94" spans="1:25" s="969" customFormat="1" ht="15" customHeight="1">
      <c r="A94" s="2100" t="s">
        <v>12</v>
      </c>
      <c r="B94" s="2085"/>
      <c r="C94" s="2085">
        <v>4121</v>
      </c>
      <c r="D94" s="2086" t="s">
        <v>350</v>
      </c>
      <c r="E94" s="2081">
        <v>898400</v>
      </c>
      <c r="F94" s="2081">
        <v>2229000</v>
      </c>
      <c r="G94" s="2081">
        <v>2229000</v>
      </c>
      <c r="H94" s="2081">
        <v>2229000</v>
      </c>
      <c r="I94" s="2081">
        <v>2229000</v>
      </c>
      <c r="J94" s="2081">
        <v>2229000</v>
      </c>
      <c r="K94" s="2081">
        <v>2229000</v>
      </c>
      <c r="L94" s="2081">
        <v>2229000</v>
      </c>
      <c r="M94" s="2081">
        <v>2544095</v>
      </c>
      <c r="N94" s="971" t="s">
        <v>351</v>
      </c>
      <c r="O94" s="971"/>
      <c r="P94" s="971"/>
      <c r="Q94" s="2072"/>
      <c r="R94" s="2072"/>
      <c r="S94" s="2072"/>
      <c r="T94" s="2072"/>
      <c r="U94" s="2072"/>
      <c r="V94" s="957"/>
      <c r="W94" s="2072"/>
      <c r="X94" s="959"/>
      <c r="Y94" s="2071"/>
    </row>
    <row r="95" spans="1:25" s="969" customFormat="1" ht="15" customHeight="1">
      <c r="A95" s="2100"/>
      <c r="B95" s="2085"/>
      <c r="C95" s="2085">
        <v>4116</v>
      </c>
      <c r="D95" s="2086" t="s">
        <v>2965</v>
      </c>
      <c r="E95" s="2081"/>
      <c r="F95" s="2081"/>
      <c r="G95" s="2081"/>
      <c r="H95" s="2081"/>
      <c r="I95" s="2081"/>
      <c r="J95" s="2081"/>
      <c r="K95" s="2081"/>
      <c r="L95" s="2081"/>
      <c r="M95" s="2081">
        <v>29800</v>
      </c>
      <c r="N95" s="971"/>
      <c r="O95" s="971"/>
      <c r="P95" s="971"/>
      <c r="Q95" s="2072"/>
      <c r="R95" s="2072"/>
      <c r="S95" s="2072"/>
      <c r="T95" s="2072"/>
      <c r="U95" s="2072"/>
      <c r="V95" s="957"/>
      <c r="W95" s="2072"/>
      <c r="X95" s="959"/>
      <c r="Y95" s="2071"/>
    </row>
    <row r="96" spans="1:25" s="969" customFormat="1" ht="15" customHeight="1">
      <c r="A96" s="2100"/>
      <c r="B96" s="2085"/>
      <c r="C96" s="2097">
        <v>4116</v>
      </c>
      <c r="D96" s="2098" t="s">
        <v>2856</v>
      </c>
      <c r="E96" s="2091"/>
      <c r="F96" s="2091"/>
      <c r="G96" s="2091"/>
      <c r="H96" s="2091"/>
      <c r="I96" s="2091">
        <v>0</v>
      </c>
      <c r="J96" s="2091">
        <v>0</v>
      </c>
      <c r="K96" s="2091">
        <v>0</v>
      </c>
      <c r="L96" s="2091">
        <v>732731</v>
      </c>
      <c r="M96" s="3081">
        <v>732731</v>
      </c>
      <c r="N96" s="971"/>
      <c r="O96" s="971"/>
      <c r="P96" s="971"/>
      <c r="Q96" s="2072"/>
      <c r="R96" s="2072"/>
      <c r="S96" s="2072"/>
      <c r="T96" s="2072"/>
      <c r="U96" s="2072"/>
      <c r="V96" s="957"/>
      <c r="W96" s="2072"/>
      <c r="X96" s="959"/>
      <c r="Y96" s="2071"/>
    </row>
    <row r="97" spans="1:25" s="969" customFormat="1" ht="15" customHeight="1">
      <c r="A97" s="2100"/>
      <c r="B97" s="2085"/>
      <c r="C97" s="2097">
        <v>4116</v>
      </c>
      <c r="D97" s="2098" t="s">
        <v>2857</v>
      </c>
      <c r="E97" s="2091"/>
      <c r="F97" s="2091"/>
      <c r="G97" s="2091"/>
      <c r="H97" s="2091"/>
      <c r="I97" s="2091">
        <v>0</v>
      </c>
      <c r="J97" s="2091">
        <v>0</v>
      </c>
      <c r="K97" s="2091">
        <v>0</v>
      </c>
      <c r="L97" s="2091">
        <v>752400</v>
      </c>
      <c r="M97" s="3081">
        <v>752400</v>
      </c>
      <c r="N97" s="971"/>
      <c r="O97" s="971"/>
      <c r="P97" s="971"/>
      <c r="Q97" s="2072"/>
      <c r="R97" s="2072"/>
      <c r="S97" s="2072"/>
      <c r="T97" s="2072"/>
      <c r="U97" s="2072"/>
      <c r="V97" s="957"/>
      <c r="W97" s="2072"/>
      <c r="X97" s="959"/>
      <c r="Y97" s="2071"/>
    </row>
    <row r="98" spans="1:25" s="969" customFormat="1" ht="15" customHeight="1">
      <c r="A98" s="2100"/>
      <c r="B98" s="2085"/>
      <c r="C98" s="2097">
        <v>4122</v>
      </c>
      <c r="D98" s="2098" t="s">
        <v>2858</v>
      </c>
      <c r="E98" s="2091"/>
      <c r="F98" s="2091"/>
      <c r="G98" s="2091"/>
      <c r="H98" s="2091"/>
      <c r="I98" s="2091">
        <v>0</v>
      </c>
      <c r="J98" s="2091">
        <v>0</v>
      </c>
      <c r="K98" s="2091">
        <v>0</v>
      </c>
      <c r="L98" s="2091">
        <v>163400</v>
      </c>
      <c r="M98" s="3081">
        <v>163400</v>
      </c>
      <c r="N98" s="971"/>
      <c r="O98" s="971"/>
      <c r="P98" s="971"/>
      <c r="Q98" s="2072"/>
      <c r="R98" s="2072"/>
      <c r="S98" s="2072"/>
      <c r="T98" s="2072"/>
      <c r="U98" s="2072"/>
      <c r="V98" s="957"/>
      <c r="W98" s="2072"/>
      <c r="X98" s="959"/>
      <c r="Y98" s="2071"/>
    </row>
    <row r="99" spans="1:25" s="969" customFormat="1" ht="15" customHeight="1">
      <c r="A99" s="2100"/>
      <c r="B99" s="2085"/>
      <c r="C99" s="2097">
        <v>4116</v>
      </c>
      <c r="D99" s="2098" t="s">
        <v>2555</v>
      </c>
      <c r="E99" s="2091"/>
      <c r="F99" s="2091"/>
      <c r="G99" s="2091"/>
      <c r="H99" s="2091"/>
      <c r="I99" s="2091"/>
      <c r="J99" s="2091"/>
      <c r="K99" s="2091"/>
      <c r="L99" s="2091"/>
      <c r="M99" s="3081">
        <v>325615</v>
      </c>
      <c r="N99" s="971"/>
      <c r="O99" s="971"/>
      <c r="P99" s="971"/>
      <c r="Q99" s="2072"/>
      <c r="R99" s="2072"/>
      <c r="S99" s="2072"/>
      <c r="T99" s="2072"/>
      <c r="U99" s="2072"/>
      <c r="V99" s="957"/>
      <c r="W99" s="2072"/>
      <c r="X99" s="959"/>
      <c r="Y99" s="2071"/>
    </row>
    <row r="100" spans="1:25" s="969" customFormat="1" ht="15" customHeight="1">
      <c r="A100" s="2119"/>
      <c r="B100" s="2116"/>
      <c r="C100" s="2116">
        <v>4216</v>
      </c>
      <c r="D100" s="2117" t="s">
        <v>2555</v>
      </c>
      <c r="E100" s="2118"/>
      <c r="F100" s="2118">
        <v>9020110</v>
      </c>
      <c r="G100" s="2118">
        <v>9020110</v>
      </c>
      <c r="H100" s="2118">
        <v>9020110</v>
      </c>
      <c r="I100" s="2118">
        <v>9020110</v>
      </c>
      <c r="J100" s="2118">
        <v>9020110</v>
      </c>
      <c r="K100" s="2118">
        <v>9020110</v>
      </c>
      <c r="L100" s="2118">
        <v>9020110</v>
      </c>
      <c r="M100" s="3081">
        <v>4651648</v>
      </c>
      <c r="N100" s="971"/>
      <c r="O100" s="971"/>
      <c r="P100" s="971"/>
      <c r="Q100" s="2072"/>
      <c r="R100" s="2072"/>
      <c r="S100" s="2072"/>
      <c r="T100" s="2072"/>
      <c r="U100" s="2072"/>
      <c r="V100" s="957"/>
      <c r="W100" s="2072"/>
      <c r="X100" s="959"/>
      <c r="Y100" s="2071"/>
    </row>
    <row r="101" spans="1:25" s="969" customFormat="1" ht="15" customHeight="1">
      <c r="A101" s="2119"/>
      <c r="B101" s="2116"/>
      <c r="C101" s="2116">
        <v>4213</v>
      </c>
      <c r="D101" s="2117" t="s">
        <v>2556</v>
      </c>
      <c r="E101" s="2118"/>
      <c r="F101" s="2118">
        <v>24999000</v>
      </c>
      <c r="G101" s="2118">
        <v>24999000</v>
      </c>
      <c r="H101" s="2118">
        <v>24999000</v>
      </c>
      <c r="I101" s="2118">
        <v>24999000</v>
      </c>
      <c r="J101" s="2118">
        <v>14000000</v>
      </c>
      <c r="K101" s="2118">
        <v>14000000</v>
      </c>
      <c r="L101" s="2118">
        <v>5900000</v>
      </c>
      <c r="M101" s="3081">
        <v>6963080</v>
      </c>
      <c r="N101" s="958" t="s">
        <v>2820</v>
      </c>
      <c r="O101" s="958"/>
      <c r="P101" s="958"/>
      <c r="Q101" s="2072"/>
      <c r="R101" s="2072"/>
      <c r="S101" s="2072"/>
      <c r="T101" s="2072"/>
      <c r="U101" s="2072"/>
      <c r="V101" s="957"/>
      <c r="W101" s="2072"/>
      <c r="X101" s="959"/>
      <c r="Y101" s="2071"/>
    </row>
    <row r="102" spans="1:25" s="969" customFormat="1" ht="15" customHeight="1">
      <c r="A102" s="2119"/>
      <c r="B102" s="2116"/>
      <c r="C102" s="2116">
        <v>4113</v>
      </c>
      <c r="D102" s="2117" t="s">
        <v>2556</v>
      </c>
      <c r="E102" s="2118"/>
      <c r="F102" s="2118"/>
      <c r="G102" s="2118"/>
      <c r="H102" s="2118"/>
      <c r="I102" s="2118"/>
      <c r="J102" s="2118"/>
      <c r="K102" s="2118"/>
      <c r="L102" s="2118"/>
      <c r="M102" s="3081">
        <v>243708</v>
      </c>
      <c r="N102" s="958"/>
      <c r="O102" s="958"/>
      <c r="P102" s="958"/>
      <c r="Q102" s="2072"/>
      <c r="R102" s="2072"/>
      <c r="S102" s="2072"/>
      <c r="T102" s="2072"/>
      <c r="U102" s="2072"/>
      <c r="V102" s="957"/>
      <c r="W102" s="2072"/>
      <c r="X102" s="959"/>
      <c r="Y102" s="2071"/>
    </row>
    <row r="103" spans="1:25" s="969" customFormat="1" ht="15" customHeight="1">
      <c r="A103" s="2088" t="s">
        <v>12</v>
      </c>
      <c r="B103" s="2089"/>
      <c r="C103" s="2089">
        <v>4216</v>
      </c>
      <c r="D103" s="2090" t="s">
        <v>956</v>
      </c>
      <c r="E103" s="2099">
        <v>0</v>
      </c>
      <c r="F103" s="2099">
        <v>0</v>
      </c>
      <c r="G103" s="2099">
        <v>0</v>
      </c>
      <c r="H103" s="2099">
        <v>0</v>
      </c>
      <c r="I103" s="2099">
        <v>0</v>
      </c>
      <c r="J103" s="2099">
        <v>0</v>
      </c>
      <c r="K103" s="2099">
        <v>0</v>
      </c>
      <c r="L103" s="2099">
        <v>0</v>
      </c>
      <c r="M103" s="3081">
        <v>0</v>
      </c>
      <c r="N103" s="958"/>
      <c r="O103" s="958"/>
      <c r="P103" s="958"/>
      <c r="Q103" s="2072"/>
      <c r="R103" s="2072"/>
      <c r="S103" s="2072"/>
      <c r="T103" s="2072"/>
      <c r="U103" s="2072"/>
      <c r="V103" s="957"/>
      <c r="W103" s="2072"/>
      <c r="X103" s="959"/>
      <c r="Y103" s="2071"/>
    </row>
    <row r="104" spans="1:25" s="969" customFormat="1" ht="15" customHeight="1">
      <c r="A104" s="2088" t="s">
        <v>12</v>
      </c>
      <c r="B104" s="2089"/>
      <c r="C104" s="2089" t="s">
        <v>36</v>
      </c>
      <c r="D104" s="2090" t="s">
        <v>1146</v>
      </c>
      <c r="E104" s="2099">
        <v>0</v>
      </c>
      <c r="F104" s="2099">
        <v>0</v>
      </c>
      <c r="G104" s="2099">
        <v>0</v>
      </c>
      <c r="H104" s="2099">
        <v>0</v>
      </c>
      <c r="I104" s="2099">
        <v>0</v>
      </c>
      <c r="J104" s="2099">
        <v>0</v>
      </c>
      <c r="K104" s="2099">
        <v>0</v>
      </c>
      <c r="L104" s="2099">
        <v>0</v>
      </c>
      <c r="M104" s="3081">
        <v>0</v>
      </c>
      <c r="N104" s="958"/>
      <c r="O104" s="958"/>
      <c r="P104" s="958"/>
      <c r="Q104" s="2072"/>
      <c r="R104" s="2072"/>
      <c r="S104" s="2072"/>
      <c r="T104" s="2072"/>
      <c r="U104" s="2072"/>
      <c r="V104" s="957"/>
      <c r="W104" s="2072"/>
      <c r="X104" s="959"/>
      <c r="Y104" s="2071"/>
    </row>
    <row r="105" spans="1:25" s="969" customFormat="1" ht="15" customHeight="1">
      <c r="A105" s="2088"/>
      <c r="B105" s="2089"/>
      <c r="C105" s="2089">
        <v>4216</v>
      </c>
      <c r="D105" s="2090" t="s">
        <v>2300</v>
      </c>
      <c r="E105" s="2099"/>
      <c r="F105" s="2099">
        <v>15000</v>
      </c>
      <c r="G105" s="2099">
        <v>15000</v>
      </c>
      <c r="H105" s="2099">
        <v>15000</v>
      </c>
      <c r="I105" s="2099">
        <v>15000</v>
      </c>
      <c r="J105" s="2099">
        <v>15000</v>
      </c>
      <c r="K105" s="2099">
        <v>15000</v>
      </c>
      <c r="L105" s="2099">
        <v>0</v>
      </c>
      <c r="M105" s="3081">
        <v>0</v>
      </c>
      <c r="N105" s="958"/>
      <c r="O105" s="958"/>
      <c r="P105" s="958"/>
      <c r="Q105" s="2072"/>
      <c r="R105" s="2072"/>
      <c r="S105" s="2072"/>
      <c r="T105" s="2072"/>
      <c r="U105" s="2072"/>
      <c r="V105" s="957"/>
      <c r="W105" s="2072"/>
      <c r="X105" s="959"/>
      <c r="Y105" s="2071"/>
    </row>
    <row r="106" spans="1:25" s="969" customFormat="1" ht="15" customHeight="1">
      <c r="A106" s="2088" t="s">
        <v>12</v>
      </c>
      <c r="B106" s="2089"/>
      <c r="C106" s="2089">
        <v>4222</v>
      </c>
      <c r="D106" s="2090" t="s">
        <v>1229</v>
      </c>
      <c r="E106" s="2099">
        <v>0</v>
      </c>
      <c r="F106" s="2099">
        <v>0</v>
      </c>
      <c r="G106" s="2099">
        <v>0</v>
      </c>
      <c r="H106" s="2099">
        <v>0</v>
      </c>
      <c r="I106" s="2099">
        <v>0</v>
      </c>
      <c r="J106" s="2099">
        <v>0</v>
      </c>
      <c r="K106" s="2099">
        <v>0</v>
      </c>
      <c r="L106" s="2099">
        <v>0</v>
      </c>
      <c r="M106" s="2091">
        <v>0</v>
      </c>
      <c r="N106" s="958"/>
      <c r="O106" s="958"/>
      <c r="P106" s="958"/>
      <c r="Q106" s="2072"/>
      <c r="R106" s="2072"/>
      <c r="S106" s="2072"/>
      <c r="T106" s="2072"/>
      <c r="U106" s="2072"/>
      <c r="V106" s="957"/>
      <c r="W106" s="2072"/>
      <c r="X106" s="959"/>
      <c r="Y106" s="2071"/>
    </row>
    <row r="107" spans="1:25" s="969" customFormat="1" ht="15" customHeight="1">
      <c r="A107" s="2088"/>
      <c r="B107" s="2089"/>
      <c r="C107" s="2089">
        <v>4116</v>
      </c>
      <c r="D107" s="2090" t="s">
        <v>2948</v>
      </c>
      <c r="E107" s="2099">
        <v>15505276</v>
      </c>
      <c r="F107" s="2099">
        <v>0</v>
      </c>
      <c r="G107" s="2099">
        <v>0</v>
      </c>
      <c r="H107" s="2099">
        <v>0</v>
      </c>
      <c r="I107" s="2099">
        <v>0</v>
      </c>
      <c r="J107" s="2099">
        <v>0</v>
      </c>
      <c r="K107" s="2099">
        <v>0</v>
      </c>
      <c r="L107" s="2099">
        <v>0</v>
      </c>
      <c r="M107" s="3081">
        <v>2332341</v>
      </c>
      <c r="N107" s="958"/>
      <c r="O107" s="958"/>
      <c r="P107" s="958"/>
      <c r="Q107" s="2072"/>
      <c r="R107" s="2072"/>
      <c r="S107" s="2072"/>
      <c r="T107" s="2072"/>
      <c r="U107" s="2072"/>
      <c r="V107" s="957"/>
      <c r="W107" s="2072"/>
      <c r="X107" s="959"/>
      <c r="Y107" s="2071"/>
    </row>
    <row r="108" spans="1:25" s="969" customFormat="1" ht="15" customHeight="1">
      <c r="A108" s="2088" t="s">
        <v>12</v>
      </c>
      <c r="B108" s="2089"/>
      <c r="C108" s="2089" t="s">
        <v>36</v>
      </c>
      <c r="D108" s="2090" t="s">
        <v>1147</v>
      </c>
      <c r="E108" s="2081">
        <v>750000</v>
      </c>
      <c r="F108" s="2099">
        <v>0</v>
      </c>
      <c r="G108" s="2099">
        <v>0</v>
      </c>
      <c r="H108" s="2099">
        <v>0</v>
      </c>
      <c r="I108" s="2099">
        <v>0</v>
      </c>
      <c r="J108" s="2099">
        <v>0</v>
      </c>
      <c r="K108" s="2099">
        <v>0</v>
      </c>
      <c r="L108" s="2099">
        <v>0</v>
      </c>
      <c r="M108" s="2091">
        <v>0</v>
      </c>
      <c r="N108" s="958"/>
      <c r="O108" s="958"/>
      <c r="P108" s="958"/>
      <c r="Q108" s="2072"/>
      <c r="R108" s="2072"/>
      <c r="S108" s="2072"/>
      <c r="T108" s="2072"/>
      <c r="U108" s="2072"/>
      <c r="V108" s="957"/>
      <c r="W108" s="2072"/>
      <c r="X108" s="959"/>
      <c r="Y108" s="2071"/>
    </row>
    <row r="109" spans="1:25" s="969" customFormat="1" ht="15" customHeight="1">
      <c r="A109" s="2088" t="s">
        <v>12</v>
      </c>
      <c r="B109" s="2089"/>
      <c r="C109" s="2089">
        <v>4216</v>
      </c>
      <c r="D109" s="2090" t="s">
        <v>957</v>
      </c>
      <c r="E109" s="2099">
        <v>0</v>
      </c>
      <c r="F109" s="2099">
        <v>0</v>
      </c>
      <c r="G109" s="2099">
        <v>0</v>
      </c>
      <c r="H109" s="2099">
        <v>0</v>
      </c>
      <c r="I109" s="2099">
        <v>0</v>
      </c>
      <c r="J109" s="2099">
        <v>0</v>
      </c>
      <c r="K109" s="2099">
        <v>0</v>
      </c>
      <c r="L109" s="2099">
        <v>0</v>
      </c>
      <c r="M109" s="2091">
        <v>0</v>
      </c>
      <c r="N109" s="958"/>
      <c r="O109" s="958"/>
      <c r="P109" s="958"/>
      <c r="Q109" s="2072"/>
      <c r="R109" s="2072"/>
      <c r="S109" s="2072"/>
      <c r="T109" s="2072"/>
      <c r="U109" s="2072"/>
      <c r="V109" s="957"/>
      <c r="W109" s="2072"/>
      <c r="X109" s="959"/>
      <c r="Y109" s="2071"/>
    </row>
    <row r="110" spans="1:25" s="969" customFormat="1" ht="15" customHeight="1">
      <c r="A110" s="2088" t="s">
        <v>12</v>
      </c>
      <c r="B110" s="2089"/>
      <c r="C110" s="2089">
        <v>4216</v>
      </c>
      <c r="D110" s="2090" t="s">
        <v>1228</v>
      </c>
      <c r="E110" s="2099">
        <v>0</v>
      </c>
      <c r="F110" s="2099">
        <v>0</v>
      </c>
      <c r="G110" s="2099">
        <v>0</v>
      </c>
      <c r="H110" s="2099">
        <v>0</v>
      </c>
      <c r="I110" s="2099">
        <v>0</v>
      </c>
      <c r="J110" s="2099">
        <v>0</v>
      </c>
      <c r="K110" s="2099">
        <v>0</v>
      </c>
      <c r="L110" s="2099">
        <v>0</v>
      </c>
      <c r="M110" s="2091">
        <v>0</v>
      </c>
      <c r="N110" s="958"/>
      <c r="O110" s="958"/>
      <c r="P110" s="958"/>
      <c r="Q110" s="2072"/>
      <c r="R110" s="2072"/>
      <c r="S110" s="2072"/>
      <c r="T110" s="2072"/>
      <c r="U110" s="2072"/>
      <c r="V110" s="957"/>
      <c r="W110" s="2072"/>
      <c r="X110" s="959"/>
      <c r="Y110" s="2071"/>
    </row>
    <row r="111" spans="1:25" s="969" customFormat="1" ht="24">
      <c r="A111" s="2088" t="s">
        <v>12</v>
      </c>
      <c r="B111" s="2089"/>
      <c r="C111" s="2089" t="s">
        <v>36</v>
      </c>
      <c r="D111" s="2090" t="s">
        <v>1148</v>
      </c>
      <c r="E111" s="2081">
        <v>0</v>
      </c>
      <c r="F111" s="2099">
        <v>0</v>
      </c>
      <c r="G111" s="2099">
        <v>0</v>
      </c>
      <c r="H111" s="2099">
        <v>0</v>
      </c>
      <c r="I111" s="2099">
        <v>0</v>
      </c>
      <c r="J111" s="2099">
        <v>0</v>
      </c>
      <c r="K111" s="2099">
        <v>0</v>
      </c>
      <c r="L111" s="2099">
        <v>0</v>
      </c>
      <c r="M111" s="2091">
        <v>0</v>
      </c>
      <c r="N111" s="958"/>
      <c r="O111" s="958"/>
      <c r="P111" s="958"/>
      <c r="Q111" s="2072"/>
      <c r="R111" s="2072"/>
      <c r="S111" s="2072"/>
      <c r="T111" s="2072"/>
      <c r="U111" s="2072"/>
      <c r="V111" s="957"/>
      <c r="W111" s="2072"/>
      <c r="X111" s="959"/>
      <c r="Y111" s="2071"/>
    </row>
    <row r="112" spans="1:25" s="969" customFormat="1" ht="15" customHeight="1">
      <c r="A112" s="2088" t="s">
        <v>12</v>
      </c>
      <c r="B112" s="2089"/>
      <c r="C112" s="2089" t="s">
        <v>36</v>
      </c>
      <c r="D112" s="2090" t="s">
        <v>1149</v>
      </c>
      <c r="E112" s="2099">
        <v>0</v>
      </c>
      <c r="F112" s="2099">
        <v>0</v>
      </c>
      <c r="G112" s="2099">
        <v>0</v>
      </c>
      <c r="H112" s="2099">
        <v>0</v>
      </c>
      <c r="I112" s="2099">
        <v>0</v>
      </c>
      <c r="J112" s="2099">
        <v>0</v>
      </c>
      <c r="K112" s="2099">
        <v>0</v>
      </c>
      <c r="L112" s="2099">
        <v>0</v>
      </c>
      <c r="M112" s="2091">
        <v>0</v>
      </c>
      <c r="N112" s="958"/>
      <c r="O112" s="958"/>
      <c r="P112" s="958"/>
      <c r="Q112" s="2072"/>
      <c r="R112" s="2072"/>
      <c r="S112" s="2072"/>
      <c r="T112" s="2072"/>
      <c r="U112" s="2072"/>
      <c r="V112" s="957"/>
      <c r="W112" s="2072"/>
      <c r="X112" s="959"/>
      <c r="Y112" s="2071"/>
    </row>
    <row r="113" spans="1:25" s="969" customFormat="1" ht="15" customHeight="1" thickBot="1">
      <c r="A113" s="2100" t="s">
        <v>12</v>
      </c>
      <c r="B113" s="2085"/>
      <c r="C113" s="2085">
        <v>4122</v>
      </c>
      <c r="D113" s="2086" t="s">
        <v>37</v>
      </c>
      <c r="E113" s="2081">
        <v>1916100</v>
      </c>
      <c r="F113" s="2081">
        <v>1916100</v>
      </c>
      <c r="G113" s="2081">
        <v>1744000</v>
      </c>
      <c r="H113" s="2081">
        <v>1744000</v>
      </c>
      <c r="I113" s="2081">
        <v>1744000</v>
      </c>
      <c r="J113" s="2081">
        <v>1744000</v>
      </c>
      <c r="K113" s="2081">
        <v>1744000</v>
      </c>
      <c r="L113" s="2081">
        <v>1744000</v>
      </c>
      <c r="M113" s="3108">
        <v>1626700</v>
      </c>
      <c r="N113" s="958"/>
      <c r="O113" s="958"/>
      <c r="P113" s="958"/>
      <c r="Q113" s="2072"/>
      <c r="R113" s="2072"/>
      <c r="S113" s="2072"/>
      <c r="T113" s="2072"/>
      <c r="U113" s="2072">
        <v>2021</v>
      </c>
      <c r="V113" s="957">
        <v>2022</v>
      </c>
      <c r="W113" s="2072"/>
      <c r="X113" s="959"/>
      <c r="Y113" s="2071"/>
    </row>
    <row r="114" spans="1:25" s="2124" customFormat="1" ht="15" customHeight="1" thickBot="1">
      <c r="A114" s="2120" t="s">
        <v>188</v>
      </c>
      <c r="B114" s="2121"/>
      <c r="C114" s="2121"/>
      <c r="D114" s="2122"/>
      <c r="E114" s="2123">
        <v>264162544</v>
      </c>
      <c r="F114" s="2123">
        <v>282994204</v>
      </c>
      <c r="G114" s="2123">
        <v>300720073</v>
      </c>
      <c r="H114" s="2123">
        <v>301055764</v>
      </c>
      <c r="I114" s="2123">
        <v>301055764</v>
      </c>
      <c r="J114" s="2123">
        <v>303706424</v>
      </c>
      <c r="K114" s="2123">
        <v>303706424</v>
      </c>
      <c r="L114" s="2123">
        <v>316937656</v>
      </c>
      <c r="M114" s="2123">
        <f>SUM(M7:M113)</f>
        <v>268932814</v>
      </c>
      <c r="N114" s="958"/>
      <c r="O114" s="958"/>
      <c r="P114" s="958"/>
      <c r="Q114" s="958"/>
      <c r="R114" s="2072"/>
      <c r="S114" s="2072"/>
      <c r="T114" s="2072"/>
      <c r="U114" s="2072"/>
      <c r="V114" s="957"/>
      <c r="W114" s="2072"/>
      <c r="X114" s="959"/>
      <c r="Y114" s="2071"/>
    </row>
    <row r="115" spans="1:25" ht="15" customHeight="1" thickBot="1">
      <c r="A115" s="2125"/>
      <c r="B115" s="2125"/>
      <c r="C115" s="2125"/>
      <c r="D115" s="2126"/>
      <c r="E115" s="2127"/>
      <c r="F115" s="2127"/>
      <c r="G115" s="2127"/>
      <c r="H115" s="2127"/>
      <c r="I115" s="2127"/>
      <c r="J115" s="2127"/>
      <c r="K115" s="2127"/>
      <c r="L115" s="2127"/>
      <c r="M115" s="2127">
        <v>0</v>
      </c>
      <c r="S115" s="2128"/>
      <c r="T115" s="2128"/>
      <c r="U115" s="2128"/>
      <c r="V115" s="2129"/>
    </row>
    <row r="116" spans="1:25" s="2124" customFormat="1" ht="16.5" customHeight="1" thickBot="1">
      <c r="A116" s="3164" t="s">
        <v>187</v>
      </c>
      <c r="B116" s="3165"/>
      <c r="C116" s="3165"/>
      <c r="D116" s="3166"/>
      <c r="E116" s="2123">
        <v>47775771</v>
      </c>
      <c r="F116" s="2123">
        <v>132960000</v>
      </c>
      <c r="G116" s="2123">
        <v>139348654</v>
      </c>
      <c r="H116" s="2123">
        <v>131788654</v>
      </c>
      <c r="I116" s="2123">
        <v>131788654</v>
      </c>
      <c r="J116" s="2123">
        <v>131788654</v>
      </c>
      <c r="K116" s="2123">
        <v>131788654</v>
      </c>
      <c r="L116" s="2123">
        <v>34270530</v>
      </c>
      <c r="M116" s="2123">
        <f>+M117+M118+M119+M120+M121</f>
        <v>48341104</v>
      </c>
      <c r="N116" s="958"/>
      <c r="O116" s="958"/>
      <c r="P116" s="958"/>
      <c r="Q116" s="2072"/>
      <c r="R116" s="2072"/>
      <c r="S116" s="2072"/>
      <c r="T116" s="2072"/>
      <c r="U116" s="2072"/>
      <c r="V116" s="957"/>
      <c r="W116" s="2072"/>
      <c r="X116" s="959"/>
      <c r="Y116" s="2071"/>
    </row>
    <row r="117" spans="1:25" s="2136" customFormat="1">
      <c r="A117" s="2130"/>
      <c r="B117" s="2131"/>
      <c r="C117" s="2132" t="s">
        <v>38</v>
      </c>
      <c r="D117" s="2133" t="s">
        <v>2825</v>
      </c>
      <c r="E117" s="2134">
        <v>14800000</v>
      </c>
      <c r="F117" s="2134">
        <v>15000000</v>
      </c>
      <c r="G117" s="2134">
        <v>15000000</v>
      </c>
      <c r="H117" s="2134">
        <v>15000000</v>
      </c>
      <c r="I117" s="2134">
        <v>15000000</v>
      </c>
      <c r="J117" s="2134">
        <v>15000000</v>
      </c>
      <c r="K117" s="2134">
        <v>15000000</v>
      </c>
      <c r="L117" s="2134">
        <v>15000000</v>
      </c>
      <c r="M117" s="2134">
        <v>15000000</v>
      </c>
      <c r="N117" s="2135"/>
      <c r="O117" s="2135"/>
      <c r="P117" s="2135"/>
      <c r="V117" s="2137"/>
      <c r="X117" s="2135"/>
    </row>
    <row r="118" spans="1:25" s="2145" customFormat="1">
      <c r="A118" s="2138"/>
      <c r="B118" s="2139"/>
      <c r="C118" s="2140" t="s">
        <v>38</v>
      </c>
      <c r="D118" s="2141" t="s">
        <v>39</v>
      </c>
      <c r="E118" s="2142">
        <v>0</v>
      </c>
      <c r="F118" s="2142">
        <v>0</v>
      </c>
      <c r="G118" s="2142">
        <v>0</v>
      </c>
      <c r="H118" s="2142">
        <v>0</v>
      </c>
      <c r="I118" s="2142">
        <v>0</v>
      </c>
      <c r="J118" s="2142">
        <v>0</v>
      </c>
      <c r="K118" s="2142">
        <v>0</v>
      </c>
      <c r="L118" s="2142">
        <v>0</v>
      </c>
      <c r="M118" s="2142">
        <v>0</v>
      </c>
      <c r="N118" s="2135"/>
      <c r="O118" s="2135"/>
      <c r="P118" s="2135"/>
      <c r="Q118" s="2136"/>
      <c r="R118" s="2136"/>
      <c r="S118" s="2136"/>
      <c r="T118" s="2136"/>
      <c r="U118" s="2136"/>
      <c r="V118" s="2137"/>
      <c r="W118" s="2136"/>
      <c r="X118" s="2143"/>
      <c r="Y118" s="2144"/>
    </row>
    <row r="119" spans="1:25" s="2145" customFormat="1">
      <c r="A119" s="2146"/>
      <c r="B119" s="2147"/>
      <c r="C119" s="2148">
        <v>8123</v>
      </c>
      <c r="D119" s="2149" t="s">
        <v>1923</v>
      </c>
      <c r="E119" s="2150">
        <v>32975771</v>
      </c>
      <c r="F119" s="2150">
        <v>7560000</v>
      </c>
      <c r="G119" s="2150">
        <v>7560000</v>
      </c>
      <c r="H119" s="2150"/>
      <c r="I119" s="2150"/>
      <c r="J119" s="2150"/>
      <c r="K119" s="2150"/>
      <c r="L119" s="2150"/>
      <c r="M119" s="2150"/>
      <c r="N119" s="2135"/>
      <c r="O119" s="2135"/>
      <c r="P119" s="2135"/>
      <c r="Q119" s="2136"/>
      <c r="R119" s="2136"/>
      <c r="S119" s="2136"/>
      <c r="T119" s="2136"/>
      <c r="U119" s="2136"/>
      <c r="V119" s="2137"/>
      <c r="W119" s="2136"/>
      <c r="X119" s="2143"/>
      <c r="Y119" s="2144"/>
    </row>
    <row r="120" spans="1:25" s="2145" customFormat="1">
      <c r="A120" s="2146"/>
      <c r="B120" s="2147"/>
      <c r="C120" s="2148">
        <v>8123</v>
      </c>
      <c r="D120" s="2149" t="s">
        <v>2545</v>
      </c>
      <c r="E120" s="2150"/>
      <c r="F120" s="2150">
        <v>81000000</v>
      </c>
      <c r="G120" s="2150">
        <v>87388654</v>
      </c>
      <c r="H120" s="2150">
        <v>87388654</v>
      </c>
      <c r="I120" s="2150">
        <v>87388654</v>
      </c>
      <c r="J120" s="2150">
        <v>87388654</v>
      </c>
      <c r="K120" s="2150">
        <v>87388654</v>
      </c>
      <c r="L120" s="2150">
        <v>19270530</v>
      </c>
      <c r="M120" s="3082">
        <v>33341104</v>
      </c>
      <c r="N120" s="2135"/>
      <c r="O120" s="2135"/>
      <c r="P120" s="2135"/>
      <c r="Q120" s="2136"/>
      <c r="R120" s="2136"/>
      <c r="S120" s="2136"/>
      <c r="T120" s="2136"/>
      <c r="U120" s="2136"/>
      <c r="V120" s="2137"/>
      <c r="W120" s="2136"/>
      <c r="X120" s="2143"/>
      <c r="Y120" s="2144"/>
    </row>
    <row r="121" spans="1:25" s="2145" customFormat="1" ht="12.4" thickBot="1">
      <c r="A121" s="2151"/>
      <c r="B121" s="2152"/>
      <c r="C121" s="2153">
        <v>8123</v>
      </c>
      <c r="D121" s="2154" t="s">
        <v>2582</v>
      </c>
      <c r="E121" s="2155"/>
      <c r="F121" s="2155">
        <v>29400000</v>
      </c>
      <c r="G121" s="2155">
        <v>29400000</v>
      </c>
      <c r="H121" s="2155">
        <v>29400000</v>
      </c>
      <c r="I121" s="2155">
        <v>29400000</v>
      </c>
      <c r="J121" s="2155">
        <v>29400000</v>
      </c>
      <c r="K121" s="2155">
        <v>29400000</v>
      </c>
      <c r="L121" s="2155"/>
      <c r="M121" s="2155"/>
      <c r="N121" s="2135"/>
      <c r="O121" s="2135"/>
      <c r="P121" s="2135"/>
      <c r="Q121" s="2136"/>
      <c r="R121" s="2136"/>
      <c r="S121" s="2136"/>
      <c r="T121" s="2136"/>
      <c r="U121" s="2136"/>
      <c r="V121" s="2137"/>
      <c r="W121" s="2136"/>
      <c r="X121" s="2143"/>
      <c r="Y121" s="2144"/>
    </row>
    <row r="122" spans="1:25" s="969" customFormat="1" ht="20.25" customHeight="1" thickBot="1">
      <c r="A122" s="3158" t="s">
        <v>62</v>
      </c>
      <c r="B122" s="3159"/>
      <c r="C122" s="3159"/>
      <c r="D122" s="3160"/>
      <c r="E122" s="2156">
        <v>311938315</v>
      </c>
      <c r="F122" s="2156">
        <v>415954204</v>
      </c>
      <c r="G122" s="2156">
        <v>440068727</v>
      </c>
      <c r="H122" s="2156">
        <v>432844418</v>
      </c>
      <c r="I122" s="2156">
        <v>432844418</v>
      </c>
      <c r="J122" s="2156">
        <v>435495078</v>
      </c>
      <c r="K122" s="2156">
        <v>435495078</v>
      </c>
      <c r="L122" s="2156">
        <v>351208186</v>
      </c>
      <c r="M122" s="2156">
        <f>+M114+M116</f>
        <v>317273918</v>
      </c>
      <c r="N122" s="958"/>
      <c r="O122" s="958"/>
      <c r="P122" s="958"/>
      <c r="Q122" s="2072"/>
      <c r="R122" s="2072"/>
      <c r="S122" s="2072"/>
      <c r="T122" s="2072"/>
      <c r="U122" s="2072"/>
      <c r="V122" s="957"/>
      <c r="W122" s="2072"/>
      <c r="X122" s="959"/>
      <c r="Y122" s="2071"/>
    </row>
    <row r="123" spans="1:25" ht="15" customHeight="1">
      <c r="A123" s="2062"/>
      <c r="B123" s="2062"/>
      <c r="C123" s="2062"/>
      <c r="D123" s="2065"/>
      <c r="E123" s="2066"/>
      <c r="F123" s="2066"/>
      <c r="G123" s="2066"/>
      <c r="H123" s="2066"/>
      <c r="I123" s="2066"/>
      <c r="J123" s="2066"/>
      <c r="K123" s="2066"/>
      <c r="L123" s="2066"/>
      <c r="M123" s="2066"/>
      <c r="S123" s="2128"/>
      <c r="T123" s="2128"/>
      <c r="U123" s="2128"/>
      <c r="V123" s="2129"/>
    </row>
    <row r="124" spans="1:25" ht="12.75" customHeight="1">
      <c r="A124" s="2157" t="s">
        <v>545</v>
      </c>
      <c r="B124" s="2062"/>
      <c r="C124" s="2062"/>
      <c r="D124" s="2065"/>
      <c r="E124" s="2064"/>
      <c r="F124" s="2064"/>
      <c r="G124" s="2064"/>
      <c r="H124" s="2064"/>
      <c r="I124" s="2064"/>
      <c r="J124" s="2064"/>
      <c r="K124" s="2064"/>
      <c r="L124" s="2064"/>
      <c r="M124" s="2064"/>
    </row>
    <row r="125" spans="1:25" ht="12.75" customHeight="1">
      <c r="N125" s="958"/>
      <c r="O125" s="958"/>
      <c r="P125" s="958"/>
      <c r="Q125" s="958"/>
      <c r="R125" s="961"/>
      <c r="S125" s="961"/>
      <c r="T125" s="961"/>
      <c r="U125" s="961"/>
    </row>
    <row r="126" spans="1:25" ht="12.75" customHeight="1">
      <c r="N126" s="958"/>
      <c r="O126" s="958"/>
      <c r="P126" s="958"/>
      <c r="Q126" s="958"/>
      <c r="R126" s="961"/>
      <c r="S126" s="961"/>
      <c r="T126" s="961"/>
      <c r="U126" s="961"/>
    </row>
  </sheetData>
  <sheetProtection algorithmName="SHA-512" hashValue="slXxBAKqMFBUrLg6ixuoZaj1P7GwH4cg1n2FBFrCschtrirOlPGTZ3Cv1j1MtV6HmjbJOVNRRQOKH63l7kEjHg==" saltValue="5KpP990vPC+mob6Qh0189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22:D122"/>
    <mergeCell ref="A5:D5"/>
    <mergeCell ref="A116:D116"/>
  </mergeCells>
  <phoneticPr fontId="8" type="noConversion"/>
  <pageMargins left="0.31496062992125984" right="0.31496062992125984" top="0.19685039370078741" bottom="0.19685039370078741" header="0.31496062992125984" footer="0.31496062992125984"/>
  <pageSetup paperSize="9" scale="66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</vt:i4>
      </vt:variant>
    </vt:vector>
  </HeadingPairs>
  <TitlesOfParts>
    <vt:vector size="54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Resumé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CF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 jistiny a úroky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2026-02-13T07:38:52Z</cp:lastPrinted>
  <dcterms:created xsi:type="dcterms:W3CDTF">2014-09-16T07:52:57Z</dcterms:created>
  <dcterms:modified xsi:type="dcterms:W3CDTF">2026-02-17T09:53:33Z</dcterms:modified>
</cp:coreProperties>
</file>