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64" windowHeight="4424" activeTab="0"/>
  </bookViews>
  <sheets>
    <sheet name="Zdrojový dokument projektů" sheetId="1" r:id="rId1"/>
  </sheets>
  <definedNames/>
  <calcPr fullCalcOnLoad="1"/>
</workbook>
</file>

<file path=xl/sharedStrings.xml><?xml version="1.0" encoding="utf-8"?>
<sst xmlns="http://schemas.openxmlformats.org/spreadsheetml/2006/main" count="899" uniqueCount="185">
  <si>
    <t>Zásobník projektů města Úvaly 2016 - 2020</t>
  </si>
  <si>
    <t>Komunikace</t>
  </si>
  <si>
    <t>Inženýrské sítě</t>
  </si>
  <si>
    <t>Vysvětlivky</t>
  </si>
  <si>
    <t>Ulice</t>
  </si>
  <si>
    <t>Délka v m</t>
  </si>
  <si>
    <t>Kategorie ulice</t>
  </si>
  <si>
    <t>Odhad ceny rekonstrukce</t>
  </si>
  <si>
    <t>Odhadovaná dotace</t>
  </si>
  <si>
    <t>Redukovaná cena rekonstrukce</t>
  </si>
  <si>
    <t>Podíl města A</t>
  </si>
  <si>
    <t>Podíl města B</t>
  </si>
  <si>
    <t>Majitel</t>
  </si>
  <si>
    <t>Voda</t>
  </si>
  <si>
    <t>Plyn</t>
  </si>
  <si>
    <t>Splašková kanalizace</t>
  </si>
  <si>
    <t>Dešťová kanalizace</t>
  </si>
  <si>
    <t>Veřejné osvětlení</t>
  </si>
  <si>
    <t>Projektant</t>
  </si>
  <si>
    <t>Projekt</t>
  </si>
  <si>
    <t>DÚR</t>
  </si>
  <si>
    <t>DSP</t>
  </si>
  <si>
    <t>DPS</t>
  </si>
  <si>
    <t>Termín</t>
  </si>
  <si>
    <t>rekonstrukce pouze povrchu (živice 4 cm nebo recyklát), u ulic, kde je shodná cena se sloupcem D nelze udělat redukovanou rekonstrukci</t>
  </si>
  <si>
    <t>Náměstí Arnošta z Pardubic + Husova ulice</t>
  </si>
  <si>
    <t>Město Úvaly + Stč. Kraj</t>
  </si>
  <si>
    <t>ANO</t>
  </si>
  <si>
    <t>A.LT + CityPlan</t>
  </si>
  <si>
    <t>ano</t>
  </si>
  <si>
    <t>SOU</t>
  </si>
  <si>
    <t>soukromí vlastníci</t>
  </si>
  <si>
    <t>Škvorecká</t>
  </si>
  <si>
    <t>PV</t>
  </si>
  <si>
    <t>probíhá proces převodu vlastnictví na město Úvaly</t>
  </si>
  <si>
    <t>Podhájí</t>
  </si>
  <si>
    <t>Město Úvaly</t>
  </si>
  <si>
    <t>Pontex</t>
  </si>
  <si>
    <t>ne</t>
  </si>
  <si>
    <t>ODM</t>
  </si>
  <si>
    <t>odúmrť - lze získat do vlastnictví města po 31.12.2023</t>
  </si>
  <si>
    <t>Táboritská</t>
  </si>
  <si>
    <t>Město Úvaly/ODM</t>
  </si>
  <si>
    <t>NIV</t>
  </si>
  <si>
    <t>nedostatečně identifikovaný vlastník, pokud se vlastník nepřihlásí do 31.12.2023, lze získat do vlastnictví města</t>
  </si>
  <si>
    <t>Švermova</t>
  </si>
  <si>
    <t>Město Úvaly + PV</t>
  </si>
  <si>
    <t>NE</t>
  </si>
  <si>
    <t xml:space="preserve">DÚR </t>
  </si>
  <si>
    <t>dokumentace pro územní rozhodnutí</t>
  </si>
  <si>
    <t>Štefánikova</t>
  </si>
  <si>
    <t>Sovova</t>
  </si>
  <si>
    <t>Město Úvaly + SOU</t>
  </si>
  <si>
    <t>dokumentace pro provedení stavby</t>
  </si>
  <si>
    <t>Denisova</t>
  </si>
  <si>
    <t>Vydrova</t>
  </si>
  <si>
    <t>Město Úvaly + NIV</t>
  </si>
  <si>
    <t>Kollárova</t>
  </si>
  <si>
    <t>ČÁST</t>
  </si>
  <si>
    <t>Hydroprojekt</t>
  </si>
  <si>
    <t>zažádáno</t>
  </si>
  <si>
    <t>Barákova</t>
  </si>
  <si>
    <t>Tigridova</t>
  </si>
  <si>
    <t>není</t>
  </si>
  <si>
    <t>Janáčkova</t>
  </si>
  <si>
    <t>K Hájovně</t>
  </si>
  <si>
    <t>?</t>
  </si>
  <si>
    <t>Erbenova</t>
  </si>
  <si>
    <t>U Výmoly</t>
  </si>
  <si>
    <t>U Kaberny</t>
  </si>
  <si>
    <t>Město + SOU</t>
  </si>
  <si>
    <t>Lužická</t>
  </si>
  <si>
    <t>Ruská</t>
  </si>
  <si>
    <t>Srbská</t>
  </si>
  <si>
    <t>Slovinská</t>
  </si>
  <si>
    <t xml:space="preserve">Celkem </t>
  </si>
  <si>
    <t>Dotace (potenciální)</t>
  </si>
  <si>
    <t>Podíl města</t>
  </si>
  <si>
    <t>Chodník Diamantová - náves Horoušánky</t>
  </si>
  <si>
    <t>Ing. Hocke</t>
  </si>
  <si>
    <t>Cyklostezka Nádraží - U Horoušánek</t>
  </si>
  <si>
    <t xml:space="preserve">Cyklostezka - přemostění I/12 </t>
  </si>
  <si>
    <t>???</t>
  </si>
  <si>
    <t>Světelná křižovatka Dobročovická</t>
  </si>
  <si>
    <t>Cyklostezka na hrázi rybníka Fabrák</t>
  </si>
  <si>
    <t>Bytový fond</t>
  </si>
  <si>
    <t>Dotace - potenciální</t>
  </si>
  <si>
    <t>Škvorecká 181</t>
  </si>
  <si>
    <t>Ing. Hofman</t>
  </si>
  <si>
    <t>Škvorecká 75</t>
  </si>
  <si>
    <t>Škvorecká 105</t>
  </si>
  <si>
    <t>DRM</t>
  </si>
  <si>
    <t>Kollárova 1095-1096</t>
  </si>
  <si>
    <t>P. Velikého 1346</t>
  </si>
  <si>
    <t>P. Velikého 1347</t>
  </si>
  <si>
    <t>Životní prostředí</t>
  </si>
  <si>
    <t>Rekonstrukce hrází rybníků Lhoták a H. úvalský</t>
  </si>
  <si>
    <t>Obnova úvalských alejí</t>
  </si>
  <si>
    <t>Štefl</t>
  </si>
  <si>
    <t>Revitalizace městských lesů</t>
  </si>
  <si>
    <t>Nebytový fond</t>
  </si>
  <si>
    <t>Zateplení MŠ Kollárova</t>
  </si>
  <si>
    <t>Rozšíření školní jídelny</t>
  </si>
  <si>
    <t>Rozšíření školní družiny - TESKO</t>
  </si>
  <si>
    <t>Zateplení ZŠ Úvaly budova B</t>
  </si>
  <si>
    <t>Rekonstrukce  č.p. 95</t>
  </si>
  <si>
    <t>Rekonstrukce Pražská 276</t>
  </si>
  <si>
    <t>Rekonstrukce hasičárny</t>
  </si>
  <si>
    <t>Demolice č.p. 527</t>
  </si>
  <si>
    <t>A</t>
  </si>
  <si>
    <t>B</t>
  </si>
  <si>
    <t>Celkový součet všech investic</t>
  </si>
  <si>
    <t>Celkové odhadované dotace</t>
  </si>
  <si>
    <t>Celkový odhadovaný podíl města</t>
  </si>
  <si>
    <t>z toho komunikace</t>
  </si>
  <si>
    <t>z chodníky</t>
  </si>
  <si>
    <t>z toho životní prostředí</t>
  </si>
  <si>
    <t>z toho nebytový fond</t>
  </si>
  <si>
    <t>z toho bytový fond</t>
  </si>
  <si>
    <t>Netto volné peníze na investice (2017 - 2020)</t>
  </si>
  <si>
    <t>Rozdíl k dofinancování</t>
  </si>
  <si>
    <t>Komerčně využitelné pozemky města</t>
  </si>
  <si>
    <t>Areál Cukrovar (celkem 18000 m2, využitelné cca 10 000 m2)</t>
  </si>
  <si>
    <t>Areál Vinice</t>
  </si>
  <si>
    <t>Lokalita Vinice v případě developmentu městem</t>
  </si>
  <si>
    <t>Lokalita Radlická čtvrť</t>
  </si>
  <si>
    <t>Součet za pozemky celkem</t>
  </si>
  <si>
    <t>Součet za pozemky celkem  v případě developmentu Vinice</t>
  </si>
  <si>
    <t>Úroveň dluhu města na konci roku 2016</t>
  </si>
  <si>
    <t xml:space="preserve">Maximální akceptovatelní úroveň dluhu dle analýzy Komerční banky </t>
  </si>
  <si>
    <t>Rozdíl mezi úrovní dluhu na konci 2016 a povoleným maximem</t>
  </si>
  <si>
    <t>Součet splátek za 2017 - 2020</t>
  </si>
  <si>
    <t>Součet rozdílu a splátek (úvěrový buffer)</t>
  </si>
  <si>
    <t>Rozdíl mezi finančním podílem města a úvěrovým bufferem</t>
  </si>
  <si>
    <t>Zpracoval: Petr Borecký, 3.3.2016, 22:55</t>
  </si>
  <si>
    <t>Chodníky a cyklostezky, světelné křižovatky</t>
  </si>
  <si>
    <t>Chodník mezi Klánovická a Purkyňova</t>
  </si>
  <si>
    <t>Cyklostezka - propojení Mánesova - koupaliště - Muchova</t>
  </si>
  <si>
    <t>Bendlova stezka (mlat)</t>
  </si>
  <si>
    <t>Revitalizace úvalského koupaliště</t>
  </si>
  <si>
    <t>Revitalizace areálu Vinice a Lomu (volnočasový park, skatepark)</t>
  </si>
  <si>
    <t>Lesní</t>
  </si>
  <si>
    <t>Zálesí</t>
  </si>
  <si>
    <t>Fibichova</t>
  </si>
  <si>
    <t>Jirenská</t>
  </si>
  <si>
    <t>Kmochova</t>
  </si>
  <si>
    <t>Palackého</t>
  </si>
  <si>
    <t>Na Ztraceném Korci</t>
  </si>
  <si>
    <t>Kupkova</t>
  </si>
  <si>
    <t>V. Špály</t>
  </si>
  <si>
    <t>Prokopa Velikého</t>
  </si>
  <si>
    <t>Šrámkova</t>
  </si>
  <si>
    <t>Poděbradova</t>
  </si>
  <si>
    <t>Roháčova</t>
  </si>
  <si>
    <t>U Obory</t>
  </si>
  <si>
    <t>Mánesova</t>
  </si>
  <si>
    <t>Rumunská</t>
  </si>
  <si>
    <t>Kladská</t>
  </si>
  <si>
    <t>U starého koupadla</t>
  </si>
  <si>
    <t>Modřínová</t>
  </si>
  <si>
    <t>Jedlová</t>
  </si>
  <si>
    <t>II. etapa splaškové kanalizace (+ povrchy ulic v lokalitě)</t>
  </si>
  <si>
    <t>E.E.Kische</t>
  </si>
  <si>
    <t>Těsnohlídkova</t>
  </si>
  <si>
    <t>Město Úvaly + Horoušany</t>
  </si>
  <si>
    <t>Diamantová + Dr. Strusky</t>
  </si>
  <si>
    <t>Chodník Dobročovická</t>
  </si>
  <si>
    <t>Svazková škola Hostín</t>
  </si>
  <si>
    <t>DSO Povýmolí</t>
  </si>
  <si>
    <t>Příspěvek DSO Povýmolí na svazkovou školu</t>
  </si>
  <si>
    <t>Název projektu</t>
  </si>
  <si>
    <t>Náklad projektu</t>
  </si>
  <si>
    <t>Autobusový terminál u nádraží</t>
  </si>
  <si>
    <t>Příspěvek Arcona Capital na svazkovou školu</t>
  </si>
  <si>
    <t>Sběrný dvůr</t>
  </si>
  <si>
    <t xml:space="preserve">Rekonstrukce autobusových zastávek (8 ks) </t>
  </si>
  <si>
    <t>-</t>
  </si>
  <si>
    <t>Rekonstrukce č.p. 95</t>
  </si>
  <si>
    <t>Rekonstrukce č.p. 276</t>
  </si>
  <si>
    <t>Projekty navržené k zařazení do II. etapy</t>
  </si>
  <si>
    <t>Projekty navržené k zařazení do III. etapy</t>
  </si>
  <si>
    <t>Příprava projektu městské knihovny nám. Arnošta z Pardubic č.p. 18</t>
  </si>
  <si>
    <t>Rozšíření MŠ Cukrovar - příprava projektu</t>
  </si>
  <si>
    <t>Indikativní zásobník projektů města Úvaly 2016 -2020</t>
  </si>
  <si>
    <t>Chodník Pražská (od školky Pražská na konec Úval)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</si>
</sst>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8"/>
      <color indexed="8"/>
      <name val="Calibri"/>
      <family val="2"/>
    </font>
    <font>
      <i/>
      <sz val="9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indexed="55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8"/>
      <color theme="1"/>
      <name val="Calibri"/>
      <family val="2"/>
    </font>
    <font>
      <i/>
      <sz val="9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theme="6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i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0" fillId="33" borderId="0" xfId="0" applyFill="1" applyAlignment="1">
      <alignment/>
    </xf>
    <xf numFmtId="0" fontId="44" fillId="33" borderId="0" xfId="0" applyFont="1" applyFill="1" applyAlignment="1">
      <alignment/>
    </xf>
    <xf numFmtId="49" fontId="2" fillId="33" borderId="0" xfId="0" applyNumberFormat="1" applyFont="1" applyFill="1" applyAlignment="1">
      <alignment horizontal="left" vertical="center"/>
    </xf>
    <xf numFmtId="0" fontId="28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164" fontId="0" fillId="33" borderId="0" xfId="0" applyNumberFormat="1" applyFill="1" applyAlignment="1">
      <alignment/>
    </xf>
    <xf numFmtId="0" fontId="28" fillId="33" borderId="16" xfId="0" applyFont="1" applyFill="1" applyBorder="1" applyAlignment="1">
      <alignment/>
    </xf>
    <xf numFmtId="0" fontId="28" fillId="33" borderId="17" xfId="0" applyFont="1" applyFill="1" applyBorder="1" applyAlignment="1">
      <alignment/>
    </xf>
    <xf numFmtId="0" fontId="28" fillId="33" borderId="18" xfId="0" applyFont="1" applyFill="1" applyBorder="1" applyAlignment="1">
      <alignment/>
    </xf>
    <xf numFmtId="164" fontId="0" fillId="33" borderId="19" xfId="0" applyNumberFormat="1" applyFill="1" applyBorder="1" applyAlignment="1">
      <alignment horizontal="right" indent="1"/>
    </xf>
    <xf numFmtId="0" fontId="28" fillId="33" borderId="20" xfId="0" applyFont="1" applyFill="1" applyBorder="1" applyAlignment="1">
      <alignment/>
    </xf>
    <xf numFmtId="0" fontId="28" fillId="33" borderId="21" xfId="0" applyFont="1" applyFill="1" applyBorder="1" applyAlignment="1">
      <alignment/>
    </xf>
    <xf numFmtId="164" fontId="0" fillId="33" borderId="22" xfId="0" applyNumberFormat="1" applyFill="1" applyBorder="1" applyAlignment="1">
      <alignment horizontal="right" indent="1"/>
    </xf>
    <xf numFmtId="164" fontId="0" fillId="33" borderId="14" xfId="0" applyNumberFormat="1" applyFill="1" applyBorder="1" applyAlignment="1">
      <alignment/>
    </xf>
    <xf numFmtId="0" fontId="0" fillId="33" borderId="23" xfId="0" applyFill="1" applyBorder="1" applyAlignment="1">
      <alignment/>
    </xf>
    <xf numFmtId="164" fontId="0" fillId="33" borderId="24" xfId="0" applyNumberFormat="1" applyFill="1" applyBorder="1" applyAlignment="1">
      <alignment horizontal="right" indent="1"/>
    </xf>
    <xf numFmtId="0" fontId="0" fillId="33" borderId="25" xfId="0" applyFill="1" applyBorder="1" applyAlignment="1">
      <alignment/>
    </xf>
    <xf numFmtId="0" fontId="28" fillId="33" borderId="0" xfId="0" applyFont="1" applyFill="1" applyAlignment="1">
      <alignment horizontal="center"/>
    </xf>
    <xf numFmtId="0" fontId="45" fillId="33" borderId="0" xfId="0" applyFont="1" applyFill="1" applyAlignment="1">
      <alignment horizontal="right"/>
    </xf>
    <xf numFmtId="164" fontId="45" fillId="33" borderId="0" xfId="0" applyNumberFormat="1" applyFont="1" applyFill="1" applyAlignment="1">
      <alignment/>
    </xf>
    <xf numFmtId="164" fontId="28" fillId="33" borderId="0" xfId="0" applyNumberFormat="1" applyFont="1" applyFill="1" applyAlignment="1">
      <alignment/>
    </xf>
    <xf numFmtId="164" fontId="46" fillId="33" borderId="0" xfId="0" applyNumberFormat="1" applyFont="1" applyFill="1" applyAlignment="1">
      <alignment/>
    </xf>
    <xf numFmtId="164" fontId="47" fillId="33" borderId="0" xfId="0" applyNumberFormat="1" applyFont="1" applyFill="1" applyAlignment="1">
      <alignment/>
    </xf>
    <xf numFmtId="3" fontId="0" fillId="33" borderId="0" xfId="0" applyNumberFormat="1" applyFill="1" applyAlignment="1">
      <alignment horizontal="right" indent="5"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0" fillId="15" borderId="26" xfId="0" applyFill="1" applyBorder="1" applyAlignment="1">
      <alignment/>
    </xf>
    <xf numFmtId="164" fontId="0" fillId="15" borderId="27" xfId="0" applyNumberFormat="1" applyFill="1" applyBorder="1" applyAlignment="1">
      <alignment horizontal="right" indent="1"/>
    </xf>
    <xf numFmtId="164" fontId="0" fillId="15" borderId="28" xfId="0" applyNumberFormat="1" applyFill="1" applyBorder="1" applyAlignment="1">
      <alignment horizontal="right" indent="1"/>
    </xf>
    <xf numFmtId="164" fontId="0" fillId="15" borderId="10" xfId="0" applyNumberFormat="1" applyFill="1" applyBorder="1" applyAlignment="1">
      <alignment horizontal="right" indent="1"/>
    </xf>
    <xf numFmtId="0" fontId="0" fillId="15" borderId="11" xfId="0" applyFill="1" applyBorder="1" applyAlignment="1">
      <alignment/>
    </xf>
    <xf numFmtId="164" fontId="0" fillId="15" borderId="29" xfId="0" applyNumberFormat="1" applyFill="1" applyBorder="1" applyAlignment="1">
      <alignment horizontal="right" indent="1"/>
    </xf>
    <xf numFmtId="0" fontId="0" fillId="15" borderId="10" xfId="0" applyFill="1" applyBorder="1" applyAlignment="1">
      <alignment/>
    </xf>
    <xf numFmtId="0" fontId="0" fillId="32" borderId="26" xfId="0" applyFill="1" applyBorder="1" applyAlignment="1">
      <alignment/>
    </xf>
    <xf numFmtId="164" fontId="0" fillId="32" borderId="27" xfId="0" applyNumberFormat="1" applyFill="1" applyBorder="1" applyAlignment="1">
      <alignment horizontal="right" indent="1"/>
    </xf>
    <xf numFmtId="164" fontId="0" fillId="32" borderId="28" xfId="0" applyNumberFormat="1" applyFill="1" applyBorder="1" applyAlignment="1">
      <alignment horizontal="right" indent="1"/>
    </xf>
    <xf numFmtId="164" fontId="0" fillId="32" borderId="10" xfId="0" applyNumberFormat="1" applyFill="1" applyBorder="1" applyAlignment="1">
      <alignment horizontal="right" indent="1"/>
    </xf>
    <xf numFmtId="0" fontId="0" fillId="32" borderId="11" xfId="0" applyFill="1" applyBorder="1" applyAlignment="1">
      <alignment/>
    </xf>
    <xf numFmtId="0" fontId="0" fillId="32" borderId="27" xfId="0" applyFill="1" applyBorder="1" applyAlignment="1">
      <alignment/>
    </xf>
    <xf numFmtId="0" fontId="0" fillId="32" borderId="10" xfId="0" applyFill="1" applyBorder="1" applyAlignment="1">
      <alignment horizontal="right" indent="5"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center"/>
    </xf>
    <xf numFmtId="164" fontId="0" fillId="32" borderId="12" xfId="0" applyNumberFormat="1" applyFill="1" applyBorder="1" applyAlignment="1">
      <alignment horizontal="right" indent="1"/>
    </xf>
    <xf numFmtId="3" fontId="0" fillId="32" borderId="10" xfId="0" applyNumberFormat="1" applyFill="1" applyBorder="1" applyAlignment="1">
      <alignment horizontal="right" indent="5"/>
    </xf>
    <xf numFmtId="164" fontId="0" fillId="32" borderId="29" xfId="0" applyNumberFormat="1" applyFill="1" applyBorder="1" applyAlignment="1">
      <alignment horizontal="right" indent="1"/>
    </xf>
    <xf numFmtId="0" fontId="0" fillId="32" borderId="29" xfId="0" applyFill="1" applyBorder="1" applyAlignment="1">
      <alignment/>
    </xf>
    <xf numFmtId="0" fontId="0" fillId="32" borderId="12" xfId="0" applyFill="1" applyBorder="1" applyAlignment="1">
      <alignment horizontal="right" indent="5"/>
    </xf>
    <xf numFmtId="0" fontId="0" fillId="32" borderId="12" xfId="0" applyFill="1" applyBorder="1" applyAlignment="1">
      <alignment/>
    </xf>
    <xf numFmtId="0" fontId="0" fillId="32" borderId="30" xfId="0" applyFill="1" applyBorder="1" applyAlignment="1">
      <alignment/>
    </xf>
    <xf numFmtId="164" fontId="0" fillId="32" borderId="22" xfId="0" applyNumberFormat="1" applyFill="1" applyBorder="1" applyAlignment="1">
      <alignment horizontal="right" indent="1"/>
    </xf>
    <xf numFmtId="164" fontId="0" fillId="32" borderId="31" xfId="0" applyNumberFormat="1" applyFill="1" applyBorder="1" applyAlignment="1">
      <alignment horizontal="right" indent="1"/>
    </xf>
    <xf numFmtId="164" fontId="0" fillId="32" borderId="14" xfId="0" applyNumberFormat="1" applyFill="1" applyBorder="1" applyAlignment="1">
      <alignment horizontal="right" indent="1"/>
    </xf>
    <xf numFmtId="0" fontId="0" fillId="32" borderId="14" xfId="0" applyFill="1" applyBorder="1" applyAlignment="1">
      <alignment/>
    </xf>
    <xf numFmtId="0" fontId="0" fillId="11" borderId="26" xfId="0" applyFill="1" applyBorder="1" applyAlignment="1">
      <alignment/>
    </xf>
    <xf numFmtId="164" fontId="0" fillId="11" borderId="27" xfId="0" applyNumberFormat="1" applyFill="1" applyBorder="1" applyAlignment="1">
      <alignment horizontal="right" indent="1"/>
    </xf>
    <xf numFmtId="164" fontId="0" fillId="11" borderId="28" xfId="0" applyNumberFormat="1" applyFill="1" applyBorder="1" applyAlignment="1">
      <alignment horizontal="right" indent="1"/>
    </xf>
    <xf numFmtId="164" fontId="0" fillId="11" borderId="10" xfId="0" applyNumberFormat="1" applyFill="1" applyBorder="1" applyAlignment="1">
      <alignment horizontal="right" indent="1"/>
    </xf>
    <xf numFmtId="0" fontId="0" fillId="11" borderId="11" xfId="0" applyFill="1" applyBorder="1" applyAlignment="1">
      <alignment/>
    </xf>
    <xf numFmtId="164" fontId="0" fillId="11" borderId="19" xfId="0" applyNumberFormat="1" applyFill="1" applyBorder="1" applyAlignment="1">
      <alignment horizontal="right" indent="1"/>
    </xf>
    <xf numFmtId="0" fontId="0" fillId="11" borderId="29" xfId="0" applyFill="1" applyBorder="1" applyAlignment="1">
      <alignment/>
    </xf>
    <xf numFmtId="3" fontId="0" fillId="11" borderId="12" xfId="0" applyNumberFormat="1" applyFill="1" applyBorder="1" applyAlignment="1">
      <alignment horizontal="right" indent="5"/>
    </xf>
    <xf numFmtId="0" fontId="0" fillId="11" borderId="12" xfId="0" applyFill="1" applyBorder="1" applyAlignment="1">
      <alignment horizontal="right" indent="5"/>
    </xf>
    <xf numFmtId="0" fontId="0" fillId="11" borderId="22" xfId="0" applyFill="1" applyBorder="1" applyAlignment="1">
      <alignment/>
    </xf>
    <xf numFmtId="0" fontId="0" fillId="11" borderId="14" xfId="0" applyFill="1" applyBorder="1" applyAlignment="1">
      <alignment horizontal="right" indent="5"/>
    </xf>
    <xf numFmtId="164" fontId="0" fillId="11" borderId="12" xfId="0" applyNumberFormat="1" applyFill="1" applyBorder="1" applyAlignment="1">
      <alignment horizontal="right" indent="1"/>
    </xf>
    <xf numFmtId="0" fontId="0" fillId="11" borderId="12" xfId="0" applyFill="1" applyBorder="1" applyAlignment="1">
      <alignment/>
    </xf>
    <xf numFmtId="164" fontId="0" fillId="11" borderId="14" xfId="0" applyNumberFormat="1" applyFill="1" applyBorder="1" applyAlignment="1">
      <alignment horizontal="right" indent="1"/>
    </xf>
    <xf numFmtId="0" fontId="0" fillId="11" borderId="14" xfId="0" applyFill="1" applyBorder="1" applyAlignment="1">
      <alignment/>
    </xf>
    <xf numFmtId="0" fontId="0" fillId="32" borderId="23" xfId="0" applyFill="1" applyBorder="1" applyAlignment="1">
      <alignment/>
    </xf>
    <xf numFmtId="164" fontId="0" fillId="32" borderId="24" xfId="0" applyNumberFormat="1" applyFill="1" applyBorder="1" applyAlignment="1">
      <alignment horizontal="right" indent="1"/>
    </xf>
    <xf numFmtId="164" fontId="0" fillId="32" borderId="19" xfId="0" applyNumberFormat="1" applyFill="1" applyBorder="1" applyAlignment="1">
      <alignment horizontal="right" indent="1"/>
    </xf>
    <xf numFmtId="0" fontId="0" fillId="32" borderId="25" xfId="0" applyFill="1" applyBorder="1" applyAlignment="1">
      <alignment/>
    </xf>
    <xf numFmtId="0" fontId="0" fillId="9" borderId="26" xfId="0" applyFill="1" applyBorder="1" applyAlignment="1">
      <alignment/>
    </xf>
    <xf numFmtId="0" fontId="45" fillId="11" borderId="0" xfId="0" applyFont="1" applyFill="1" applyAlignment="1">
      <alignment/>
    </xf>
    <xf numFmtId="164" fontId="45" fillId="11" borderId="0" xfId="0" applyNumberFormat="1" applyFont="1" applyFill="1" applyAlignment="1">
      <alignment/>
    </xf>
    <xf numFmtId="0" fontId="45" fillId="9" borderId="0" xfId="0" applyFont="1" applyFill="1" applyAlignment="1">
      <alignment/>
    </xf>
    <xf numFmtId="164" fontId="45" fillId="9" borderId="0" xfId="0" applyNumberFormat="1" applyFont="1" applyFill="1" applyAlignment="1">
      <alignment/>
    </xf>
    <xf numFmtId="0" fontId="0" fillId="11" borderId="10" xfId="0" applyFill="1" applyBorder="1" applyAlignment="1">
      <alignment/>
    </xf>
    <xf numFmtId="0" fontId="38" fillId="32" borderId="10" xfId="0" applyFont="1" applyFill="1" applyBorder="1" applyAlignment="1">
      <alignment/>
    </xf>
    <xf numFmtId="0" fontId="38" fillId="32" borderId="11" xfId="0" applyFont="1" applyFill="1" applyBorder="1" applyAlignment="1">
      <alignment/>
    </xf>
    <xf numFmtId="0" fontId="47" fillId="32" borderId="10" xfId="0" applyFont="1" applyFill="1" applyBorder="1" applyAlignment="1">
      <alignment horizontal="center"/>
    </xf>
    <xf numFmtId="0" fontId="0" fillId="32" borderId="27" xfId="0" applyFill="1" applyBorder="1" applyAlignment="1">
      <alignment wrapText="1"/>
    </xf>
    <xf numFmtId="0" fontId="0" fillId="32" borderId="12" xfId="0" applyFill="1" applyBorder="1" applyAlignment="1">
      <alignment horizontal="center"/>
    </xf>
    <xf numFmtId="0" fontId="38" fillId="32" borderId="12" xfId="0" applyFont="1" applyFill="1" applyBorder="1" applyAlignment="1">
      <alignment/>
    </xf>
    <xf numFmtId="0" fontId="38" fillId="32" borderId="13" xfId="0" applyFont="1" applyFill="1" applyBorder="1" applyAlignment="1">
      <alignment/>
    </xf>
    <xf numFmtId="0" fontId="0" fillId="32" borderId="13" xfId="0" applyFill="1" applyBorder="1" applyAlignment="1">
      <alignment/>
    </xf>
    <xf numFmtId="0" fontId="47" fillId="32" borderId="12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38" fillId="32" borderId="29" xfId="0" applyFont="1" applyFill="1" applyBorder="1" applyAlignment="1">
      <alignment/>
    </xf>
    <xf numFmtId="0" fontId="38" fillId="32" borderId="12" xfId="0" applyFont="1" applyFill="1" applyBorder="1" applyAlignment="1">
      <alignment horizontal="right" indent="5"/>
    </xf>
    <xf numFmtId="164" fontId="38" fillId="32" borderId="12" xfId="0" applyNumberFormat="1" applyFont="1" applyFill="1" applyBorder="1" applyAlignment="1">
      <alignment horizontal="right" indent="1"/>
    </xf>
    <xf numFmtId="164" fontId="38" fillId="32" borderId="10" xfId="0" applyNumberFormat="1" applyFont="1" applyFill="1" applyBorder="1" applyAlignment="1">
      <alignment horizontal="right" indent="1"/>
    </xf>
    <xf numFmtId="0" fontId="38" fillId="32" borderId="12" xfId="0" applyFont="1" applyFill="1" applyBorder="1" applyAlignment="1">
      <alignment horizontal="center"/>
    </xf>
    <xf numFmtId="0" fontId="0" fillId="32" borderId="22" xfId="0" applyFill="1" applyBorder="1" applyAlignment="1">
      <alignment/>
    </xf>
    <xf numFmtId="0" fontId="0" fillId="32" borderId="14" xfId="0" applyFill="1" applyBorder="1" applyAlignment="1">
      <alignment horizontal="right" indent="5"/>
    </xf>
    <xf numFmtId="0" fontId="0" fillId="32" borderId="14" xfId="0" applyFill="1" applyBorder="1" applyAlignment="1">
      <alignment horizontal="center"/>
    </xf>
    <xf numFmtId="0" fontId="38" fillId="32" borderId="14" xfId="0" applyFont="1" applyFill="1" applyBorder="1" applyAlignment="1">
      <alignment/>
    </xf>
    <xf numFmtId="0" fontId="38" fillId="32" borderId="15" xfId="0" applyFont="1" applyFill="1" applyBorder="1" applyAlignment="1">
      <alignment/>
    </xf>
    <xf numFmtId="0" fontId="0" fillId="32" borderId="15" xfId="0" applyFill="1" applyBorder="1" applyAlignment="1">
      <alignment/>
    </xf>
    <xf numFmtId="0" fontId="0" fillId="11" borderId="27" xfId="0" applyFill="1" applyBorder="1" applyAlignment="1">
      <alignment wrapText="1"/>
    </xf>
    <xf numFmtId="0" fontId="0" fillId="11" borderId="10" xfId="0" applyFill="1" applyBorder="1" applyAlignment="1">
      <alignment horizontal="right" indent="5"/>
    </xf>
    <xf numFmtId="0" fontId="0" fillId="11" borderId="10" xfId="0" applyFill="1" applyBorder="1" applyAlignment="1">
      <alignment horizontal="center"/>
    </xf>
    <xf numFmtId="0" fontId="47" fillId="11" borderId="10" xfId="0" applyFont="1" applyFill="1" applyBorder="1" applyAlignment="1">
      <alignment horizontal="center"/>
    </xf>
    <xf numFmtId="0" fontId="38" fillId="11" borderId="10" xfId="0" applyFont="1" applyFill="1" applyBorder="1" applyAlignment="1">
      <alignment/>
    </xf>
    <xf numFmtId="0" fontId="38" fillId="11" borderId="11" xfId="0" applyFont="1" applyFill="1" applyBorder="1" applyAlignment="1">
      <alignment/>
    </xf>
    <xf numFmtId="0" fontId="0" fillId="11" borderId="12" xfId="0" applyFill="1" applyBorder="1" applyAlignment="1">
      <alignment horizontal="center"/>
    </xf>
    <xf numFmtId="0" fontId="38" fillId="11" borderId="12" xfId="0" applyFont="1" applyFill="1" applyBorder="1" applyAlignment="1">
      <alignment/>
    </xf>
    <xf numFmtId="0" fontId="38" fillId="11" borderId="13" xfId="0" applyFont="1" applyFill="1" applyBorder="1" applyAlignment="1">
      <alignment/>
    </xf>
    <xf numFmtId="0" fontId="0" fillId="11" borderId="13" xfId="0" applyFill="1" applyBorder="1" applyAlignment="1">
      <alignment/>
    </xf>
    <xf numFmtId="0" fontId="0" fillId="11" borderId="12" xfId="0" applyFont="1" applyFill="1" applyBorder="1" applyAlignment="1">
      <alignment horizontal="center"/>
    </xf>
    <xf numFmtId="0" fontId="47" fillId="11" borderId="12" xfId="0" applyFont="1" applyFill="1" applyBorder="1" applyAlignment="1">
      <alignment horizontal="center"/>
    </xf>
    <xf numFmtId="164" fontId="50" fillId="33" borderId="0" xfId="0" applyNumberFormat="1" applyFont="1" applyFill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28" fillId="33" borderId="35" xfId="0" applyFont="1" applyFill="1" applyBorder="1" applyAlignment="1">
      <alignment/>
    </xf>
    <xf numFmtId="0" fontId="28" fillId="33" borderId="19" xfId="0" applyFont="1" applyFill="1" applyBorder="1" applyAlignment="1">
      <alignment/>
    </xf>
    <xf numFmtId="0" fontId="28" fillId="33" borderId="19" xfId="0" applyFont="1" applyFill="1" applyBorder="1" applyAlignment="1">
      <alignment horizontal="center"/>
    </xf>
    <xf numFmtId="0" fontId="28" fillId="33" borderId="25" xfId="0" applyFont="1" applyFill="1" applyBorder="1" applyAlignment="1">
      <alignment/>
    </xf>
    <xf numFmtId="0" fontId="43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28" fillId="34" borderId="0" xfId="0" applyFont="1" applyFill="1" applyBorder="1" applyAlignment="1">
      <alignment horizontal="center"/>
    </xf>
    <xf numFmtId="0" fontId="28" fillId="34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28" fillId="35" borderId="0" xfId="0" applyFont="1" applyFill="1" applyBorder="1" applyAlignment="1">
      <alignment horizontal="center"/>
    </xf>
    <xf numFmtId="0" fontId="28" fillId="35" borderId="0" xfId="0" applyFont="1" applyFill="1" applyBorder="1" applyAlignment="1">
      <alignment/>
    </xf>
    <xf numFmtId="0" fontId="28" fillId="33" borderId="33" xfId="0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3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9"/>
  <sheetViews>
    <sheetView tabSelected="1" zoomScale="70" zoomScaleNormal="70" zoomScalePageLayoutView="0" workbookViewId="0" topLeftCell="A6">
      <pane ySplit="3" topLeftCell="A9" activePane="bottomLeft" state="frozen"/>
      <selection pane="topLeft" activeCell="C6" sqref="C6"/>
      <selection pane="bottomLeft" activeCell="A120" sqref="A120"/>
    </sheetView>
  </sheetViews>
  <sheetFormatPr defaultColWidth="8.8515625" defaultRowHeight="15"/>
  <cols>
    <col min="1" max="1" width="58.7109375" style="2" customWidth="1"/>
    <col min="2" max="2" width="23.140625" style="2" customWidth="1"/>
    <col min="3" max="3" width="17.57421875" style="2" customWidth="1"/>
    <col min="4" max="4" width="22.8515625" style="2" customWidth="1"/>
    <col min="5" max="5" width="29.00390625" style="2" customWidth="1"/>
    <col min="6" max="6" width="27.7109375" style="2" customWidth="1"/>
    <col min="7" max="7" width="22.28125" style="2" customWidth="1"/>
    <col min="8" max="8" width="28.57421875" style="2" customWidth="1"/>
    <col min="9" max="9" width="23.421875" style="2" customWidth="1"/>
    <col min="10" max="10" width="18.140625" style="2" customWidth="1"/>
    <col min="11" max="11" width="16.7109375" style="2" customWidth="1"/>
    <col min="12" max="12" width="13.421875" style="2" customWidth="1"/>
    <col min="13" max="13" width="9.8515625" style="2" customWidth="1"/>
    <col min="14" max="14" width="11.140625" style="2" customWidth="1"/>
    <col min="15" max="16" width="9.7109375" style="2" customWidth="1"/>
    <col min="17" max="17" width="10.140625" style="2" customWidth="1"/>
    <col min="18" max="19" width="17.140625" style="2" customWidth="1"/>
    <col min="20" max="16384" width="8.8515625" style="2" customWidth="1"/>
  </cols>
  <sheetData>
    <row r="1" ht="36">
      <c r="A1" s="1" t="s">
        <v>0</v>
      </c>
    </row>
    <row r="2" ht="14.25">
      <c r="A2" s="3" t="s">
        <v>134</v>
      </c>
    </row>
    <row r="4" ht="15.75" thickBot="1">
      <c r="A4" s="4" t="s">
        <v>1</v>
      </c>
    </row>
    <row r="5" spans="1:22" ht="14.25">
      <c r="A5" s="120"/>
      <c r="B5" s="121"/>
      <c r="C5" s="121"/>
      <c r="D5" s="121"/>
      <c r="E5" s="121"/>
      <c r="F5" s="121"/>
      <c r="G5" s="121"/>
      <c r="H5" s="121"/>
      <c r="I5" s="121"/>
      <c r="J5" s="134" t="s">
        <v>2</v>
      </c>
      <c r="K5" s="134"/>
      <c r="L5" s="134"/>
      <c r="M5" s="134"/>
      <c r="N5" s="134"/>
      <c r="O5" s="121"/>
      <c r="P5" s="121"/>
      <c r="Q5" s="121"/>
      <c r="R5" s="121"/>
      <c r="S5" s="122"/>
      <c r="T5" s="122"/>
      <c r="V5" s="5" t="s">
        <v>3</v>
      </c>
    </row>
    <row r="6" spans="1:22" s="128" customFormat="1" ht="36">
      <c r="A6" s="127" t="s">
        <v>183</v>
      </c>
      <c r="J6" s="129"/>
      <c r="K6" s="129"/>
      <c r="L6" s="129"/>
      <c r="M6" s="129"/>
      <c r="N6" s="129"/>
      <c r="V6" s="130"/>
    </row>
    <row r="7" spans="10:22" s="131" customFormat="1" ht="14.25">
      <c r="J7" s="132"/>
      <c r="K7" s="132"/>
      <c r="L7" s="132"/>
      <c r="M7" s="132"/>
      <c r="N7" s="132"/>
      <c r="V7" s="133"/>
    </row>
    <row r="8" spans="1:24" ht="15" thickBot="1">
      <c r="A8" s="123" t="s">
        <v>4</v>
      </c>
      <c r="B8" s="124" t="s">
        <v>5</v>
      </c>
      <c r="C8" s="124" t="s">
        <v>6</v>
      </c>
      <c r="D8" s="124" t="s">
        <v>7</v>
      </c>
      <c r="E8" s="124" t="s">
        <v>8</v>
      </c>
      <c r="F8" s="124" t="s">
        <v>9</v>
      </c>
      <c r="G8" s="124" t="s">
        <v>10</v>
      </c>
      <c r="H8" s="124" t="s">
        <v>11</v>
      </c>
      <c r="I8" s="124" t="s">
        <v>12</v>
      </c>
      <c r="J8" s="125" t="s">
        <v>13</v>
      </c>
      <c r="K8" s="125" t="s">
        <v>14</v>
      </c>
      <c r="L8" s="125" t="s">
        <v>15</v>
      </c>
      <c r="M8" s="125" t="s">
        <v>16</v>
      </c>
      <c r="N8" s="125" t="s">
        <v>17</v>
      </c>
      <c r="O8" s="124" t="s">
        <v>18</v>
      </c>
      <c r="P8" s="124" t="s">
        <v>19</v>
      </c>
      <c r="Q8" s="124" t="s">
        <v>20</v>
      </c>
      <c r="R8" s="124" t="s">
        <v>21</v>
      </c>
      <c r="S8" s="126" t="s">
        <v>22</v>
      </c>
      <c r="T8" s="126" t="s">
        <v>23</v>
      </c>
      <c r="V8" s="5" t="s">
        <v>9</v>
      </c>
      <c r="X8" s="6" t="s">
        <v>24</v>
      </c>
    </row>
    <row r="9" spans="1:24" ht="14.25">
      <c r="A9" s="46" t="s">
        <v>25</v>
      </c>
      <c r="B9" s="47">
        <v>350</v>
      </c>
      <c r="C9" s="47">
        <v>1</v>
      </c>
      <c r="D9" s="44">
        <v>35000000</v>
      </c>
      <c r="E9" s="44">
        <f>0.3*D9</f>
        <v>10500000</v>
      </c>
      <c r="F9" s="44">
        <v>35000000</v>
      </c>
      <c r="G9" s="44">
        <f aca="true" t="shared" si="0" ref="G9:G57">D9-E9</f>
        <v>24500000</v>
      </c>
      <c r="H9" s="44">
        <f aca="true" t="shared" si="1" ref="H9:H30">F9-E9</f>
        <v>24500000</v>
      </c>
      <c r="I9" s="48" t="s">
        <v>26</v>
      </c>
      <c r="J9" s="49" t="s">
        <v>27</v>
      </c>
      <c r="K9" s="49" t="s">
        <v>27</v>
      </c>
      <c r="L9" s="49" t="s">
        <v>27</v>
      </c>
      <c r="M9" s="49" t="s">
        <v>27</v>
      </c>
      <c r="N9" s="49" t="s">
        <v>27</v>
      </c>
      <c r="O9" s="48" t="s">
        <v>28</v>
      </c>
      <c r="P9" s="48" t="s">
        <v>29</v>
      </c>
      <c r="Q9" s="48" t="s">
        <v>29</v>
      </c>
      <c r="R9" s="48" t="s">
        <v>29</v>
      </c>
      <c r="S9" s="45" t="s">
        <v>29</v>
      </c>
      <c r="T9" s="45"/>
      <c r="V9" s="5" t="s">
        <v>30</v>
      </c>
      <c r="X9" s="6" t="s">
        <v>31</v>
      </c>
    </row>
    <row r="10" spans="1:24" ht="14.25">
      <c r="A10" s="46" t="s">
        <v>172</v>
      </c>
      <c r="B10" s="47"/>
      <c r="C10" s="47">
        <v>1</v>
      </c>
      <c r="D10" s="44">
        <v>25000000</v>
      </c>
      <c r="E10" s="44">
        <f>0.85*D10</f>
        <v>21250000</v>
      </c>
      <c r="F10" s="44">
        <v>23500000</v>
      </c>
      <c r="G10" s="44">
        <f t="shared" si="0"/>
        <v>3750000</v>
      </c>
      <c r="H10" s="44">
        <f t="shared" si="1"/>
        <v>2250000</v>
      </c>
      <c r="I10" s="48" t="s">
        <v>36</v>
      </c>
      <c r="J10" s="49" t="s">
        <v>27</v>
      </c>
      <c r="K10" s="49" t="s">
        <v>27</v>
      </c>
      <c r="L10" s="49" t="s">
        <v>27</v>
      </c>
      <c r="M10" s="49" t="s">
        <v>27</v>
      </c>
      <c r="N10" s="49" t="s">
        <v>27</v>
      </c>
      <c r="O10" s="86" t="s">
        <v>63</v>
      </c>
      <c r="P10" s="86" t="s">
        <v>38</v>
      </c>
      <c r="Q10" s="86" t="s">
        <v>38</v>
      </c>
      <c r="R10" s="86" t="s">
        <v>38</v>
      </c>
      <c r="S10" s="87" t="s">
        <v>38</v>
      </c>
      <c r="T10" s="45"/>
      <c r="V10" s="5"/>
      <c r="X10" s="6"/>
    </row>
    <row r="11" spans="1:24" ht="14.25">
      <c r="A11" s="46" t="s">
        <v>175</v>
      </c>
      <c r="B11" s="47"/>
      <c r="C11" s="47"/>
      <c r="D11" s="44">
        <v>4000000</v>
      </c>
      <c r="E11" s="44">
        <v>0</v>
      </c>
      <c r="F11" s="44">
        <v>2000000</v>
      </c>
      <c r="G11" s="44">
        <f t="shared" si="0"/>
        <v>4000000</v>
      </c>
      <c r="H11" s="44">
        <f t="shared" si="1"/>
        <v>2000000</v>
      </c>
      <c r="I11" s="55" t="s">
        <v>36</v>
      </c>
      <c r="J11" s="49" t="s">
        <v>176</v>
      </c>
      <c r="K11" s="49" t="s">
        <v>176</v>
      </c>
      <c r="L11" s="49" t="s">
        <v>176</v>
      </c>
      <c r="M11" s="49" t="s">
        <v>176</v>
      </c>
      <c r="N11" s="88" t="s">
        <v>47</v>
      </c>
      <c r="O11" s="86" t="s">
        <v>63</v>
      </c>
      <c r="P11" s="86" t="s">
        <v>38</v>
      </c>
      <c r="Q11" s="86" t="s">
        <v>38</v>
      </c>
      <c r="R11" s="86" t="s">
        <v>38</v>
      </c>
      <c r="S11" s="87" t="s">
        <v>38</v>
      </c>
      <c r="T11" s="45"/>
      <c r="V11" s="5"/>
      <c r="X11" s="6"/>
    </row>
    <row r="12" spans="1:24" ht="14.25">
      <c r="A12" s="46" t="s">
        <v>156</v>
      </c>
      <c r="B12" s="47">
        <v>86</v>
      </c>
      <c r="C12" s="47">
        <v>16</v>
      </c>
      <c r="D12" s="44">
        <f>9150*B12*1.21</f>
        <v>952149</v>
      </c>
      <c r="E12" s="44">
        <v>0</v>
      </c>
      <c r="F12" s="44">
        <v>240000</v>
      </c>
      <c r="G12" s="44">
        <f aca="true" t="shared" si="2" ref="G12:G18">D12-E12</f>
        <v>952149</v>
      </c>
      <c r="H12" s="44">
        <f aca="true" t="shared" si="3" ref="H12:H18">F12-E12</f>
        <v>240000</v>
      </c>
      <c r="I12" s="55" t="s">
        <v>36</v>
      </c>
      <c r="J12" s="49" t="s">
        <v>27</v>
      </c>
      <c r="K12" s="49" t="s">
        <v>27</v>
      </c>
      <c r="L12" s="49" t="s">
        <v>27</v>
      </c>
      <c r="M12" s="88" t="s">
        <v>47</v>
      </c>
      <c r="N12" s="49" t="s">
        <v>27</v>
      </c>
      <c r="O12" s="86" t="s">
        <v>63</v>
      </c>
      <c r="P12" s="86" t="s">
        <v>38</v>
      </c>
      <c r="Q12" s="86" t="s">
        <v>38</v>
      </c>
      <c r="R12" s="86" t="s">
        <v>38</v>
      </c>
      <c r="S12" s="87" t="s">
        <v>38</v>
      </c>
      <c r="T12" s="45"/>
      <c r="V12" s="5"/>
      <c r="X12" s="6"/>
    </row>
    <row r="13" spans="1:24" ht="14.25">
      <c r="A13" s="46" t="s">
        <v>157</v>
      </c>
      <c r="B13" s="47">
        <v>234</v>
      </c>
      <c r="C13" s="47">
        <v>16</v>
      </c>
      <c r="D13" s="44">
        <f>9150*B13*1.21</f>
        <v>2590731</v>
      </c>
      <c r="E13" s="44">
        <v>0</v>
      </c>
      <c r="F13" s="44">
        <v>400000</v>
      </c>
      <c r="G13" s="44">
        <f t="shared" si="2"/>
        <v>2590731</v>
      </c>
      <c r="H13" s="44">
        <f t="shared" si="3"/>
        <v>400000</v>
      </c>
      <c r="I13" s="55" t="s">
        <v>36</v>
      </c>
      <c r="J13" s="49" t="s">
        <v>27</v>
      </c>
      <c r="K13" s="49" t="s">
        <v>27</v>
      </c>
      <c r="L13" s="49" t="s">
        <v>27</v>
      </c>
      <c r="M13" s="88" t="s">
        <v>47</v>
      </c>
      <c r="N13" s="49" t="s">
        <v>27</v>
      </c>
      <c r="O13" s="86" t="s">
        <v>63</v>
      </c>
      <c r="P13" s="86" t="s">
        <v>38</v>
      </c>
      <c r="Q13" s="86" t="s">
        <v>38</v>
      </c>
      <c r="R13" s="86" t="s">
        <v>38</v>
      </c>
      <c r="S13" s="87" t="s">
        <v>38</v>
      </c>
      <c r="T13" s="45"/>
      <c r="V13" s="5"/>
      <c r="X13" s="6"/>
    </row>
    <row r="14" spans="1:24" ht="14.25">
      <c r="A14" s="46" t="s">
        <v>69</v>
      </c>
      <c r="B14" s="47">
        <v>147</v>
      </c>
      <c r="C14" s="47">
        <v>17</v>
      </c>
      <c r="D14" s="44">
        <f>10490*B14*1.21</f>
        <v>1865856.3</v>
      </c>
      <c r="E14" s="44">
        <v>0</v>
      </c>
      <c r="F14" s="44">
        <v>610000</v>
      </c>
      <c r="G14" s="44">
        <f t="shared" si="2"/>
        <v>1865856.3</v>
      </c>
      <c r="H14" s="44">
        <f t="shared" si="3"/>
        <v>610000</v>
      </c>
      <c r="I14" s="55" t="s">
        <v>36</v>
      </c>
      <c r="J14" s="49" t="s">
        <v>27</v>
      </c>
      <c r="K14" s="49" t="s">
        <v>27</v>
      </c>
      <c r="L14" s="49" t="s">
        <v>27</v>
      </c>
      <c r="M14" s="88" t="s">
        <v>47</v>
      </c>
      <c r="N14" s="49" t="s">
        <v>27</v>
      </c>
      <c r="O14" s="86" t="s">
        <v>63</v>
      </c>
      <c r="P14" s="86" t="s">
        <v>38</v>
      </c>
      <c r="Q14" s="86" t="s">
        <v>38</v>
      </c>
      <c r="R14" s="86" t="s">
        <v>38</v>
      </c>
      <c r="S14" s="87" t="s">
        <v>38</v>
      </c>
      <c r="T14" s="45"/>
      <c r="V14" s="5"/>
      <c r="X14" s="6"/>
    </row>
    <row r="15" spans="1:24" ht="14.25">
      <c r="A15" s="46" t="s">
        <v>68</v>
      </c>
      <c r="B15" s="47">
        <v>148</v>
      </c>
      <c r="C15" s="47">
        <v>17</v>
      </c>
      <c r="D15" s="44">
        <f>10490*B15*1.21</f>
        <v>1878549.2</v>
      </c>
      <c r="E15" s="44">
        <v>0</v>
      </c>
      <c r="F15" s="44">
        <v>530000</v>
      </c>
      <c r="G15" s="44">
        <f t="shared" si="2"/>
        <v>1878549.2</v>
      </c>
      <c r="H15" s="44">
        <f t="shared" si="3"/>
        <v>530000</v>
      </c>
      <c r="I15" s="55" t="s">
        <v>36</v>
      </c>
      <c r="J15" s="49" t="s">
        <v>27</v>
      </c>
      <c r="K15" s="49" t="s">
        <v>27</v>
      </c>
      <c r="L15" s="49" t="s">
        <v>27</v>
      </c>
      <c r="M15" s="88" t="s">
        <v>47</v>
      </c>
      <c r="N15" s="49" t="s">
        <v>27</v>
      </c>
      <c r="O15" s="86" t="s">
        <v>63</v>
      </c>
      <c r="P15" s="86" t="s">
        <v>38</v>
      </c>
      <c r="Q15" s="86" t="s">
        <v>38</v>
      </c>
      <c r="R15" s="86" t="s">
        <v>38</v>
      </c>
      <c r="S15" s="87" t="s">
        <v>38</v>
      </c>
      <c r="T15" s="45"/>
      <c r="V15" s="5"/>
      <c r="X15" s="6"/>
    </row>
    <row r="16" spans="1:24" ht="14.25">
      <c r="A16" s="46" t="s">
        <v>158</v>
      </c>
      <c r="B16" s="47">
        <v>145</v>
      </c>
      <c r="C16" s="47">
        <v>9</v>
      </c>
      <c r="D16" s="44">
        <f>8961*B16*1.21</f>
        <v>1572207.45</v>
      </c>
      <c r="E16" s="44">
        <v>0</v>
      </c>
      <c r="F16" s="44">
        <v>468000</v>
      </c>
      <c r="G16" s="44">
        <f t="shared" si="2"/>
        <v>1572207.45</v>
      </c>
      <c r="H16" s="44">
        <f t="shared" si="3"/>
        <v>468000</v>
      </c>
      <c r="I16" s="55" t="s">
        <v>36</v>
      </c>
      <c r="J16" s="49" t="s">
        <v>27</v>
      </c>
      <c r="K16" s="49" t="s">
        <v>27</v>
      </c>
      <c r="L16" s="49" t="s">
        <v>27</v>
      </c>
      <c r="M16" s="88" t="s">
        <v>47</v>
      </c>
      <c r="N16" s="49" t="s">
        <v>27</v>
      </c>
      <c r="O16" s="86" t="s">
        <v>63</v>
      </c>
      <c r="P16" s="86" t="s">
        <v>38</v>
      </c>
      <c r="Q16" s="86" t="s">
        <v>38</v>
      </c>
      <c r="R16" s="86" t="s">
        <v>38</v>
      </c>
      <c r="S16" s="87" t="s">
        <v>38</v>
      </c>
      <c r="T16" s="45"/>
      <c r="V16" s="5"/>
      <c r="X16" s="6"/>
    </row>
    <row r="17" spans="1:24" ht="14.25">
      <c r="A17" s="46" t="s">
        <v>159</v>
      </c>
      <c r="B17" s="47">
        <v>121</v>
      </c>
      <c r="C17" s="47">
        <v>11</v>
      </c>
      <c r="D17" s="44">
        <f>12540*1.21*B17</f>
        <v>1835981.4</v>
      </c>
      <c r="E17" s="44">
        <v>0</v>
      </c>
      <c r="F17" s="44">
        <v>360000</v>
      </c>
      <c r="G17" s="44">
        <f t="shared" si="2"/>
        <v>1835981.4</v>
      </c>
      <c r="H17" s="44">
        <f t="shared" si="3"/>
        <v>360000</v>
      </c>
      <c r="I17" s="55" t="s">
        <v>36</v>
      </c>
      <c r="J17" s="49" t="s">
        <v>27</v>
      </c>
      <c r="K17" s="49" t="s">
        <v>27</v>
      </c>
      <c r="L17" s="49" t="s">
        <v>27</v>
      </c>
      <c r="M17" s="88" t="s">
        <v>47</v>
      </c>
      <c r="N17" s="49" t="s">
        <v>27</v>
      </c>
      <c r="O17" s="86" t="s">
        <v>63</v>
      </c>
      <c r="P17" s="86" t="s">
        <v>38</v>
      </c>
      <c r="Q17" s="86" t="s">
        <v>38</v>
      </c>
      <c r="R17" s="86" t="s">
        <v>38</v>
      </c>
      <c r="S17" s="87" t="s">
        <v>38</v>
      </c>
      <c r="T17" s="45"/>
      <c r="V17" s="5"/>
      <c r="X17" s="6"/>
    </row>
    <row r="18" spans="1:24" ht="14.25">
      <c r="A18" s="46" t="s">
        <v>160</v>
      </c>
      <c r="B18" s="47">
        <v>141</v>
      </c>
      <c r="C18" s="47">
        <v>11</v>
      </c>
      <c r="D18" s="44">
        <f>12540*1.21*B18</f>
        <v>2139449.4</v>
      </c>
      <c r="E18" s="44">
        <v>0</v>
      </c>
      <c r="F18" s="44">
        <v>600000</v>
      </c>
      <c r="G18" s="44">
        <f t="shared" si="2"/>
        <v>2139449.4</v>
      </c>
      <c r="H18" s="44">
        <f t="shared" si="3"/>
        <v>600000</v>
      </c>
      <c r="I18" s="55"/>
      <c r="J18" s="49" t="s">
        <v>27</v>
      </c>
      <c r="K18" s="49" t="s">
        <v>27</v>
      </c>
      <c r="L18" s="49" t="s">
        <v>27</v>
      </c>
      <c r="M18" s="88" t="s">
        <v>47</v>
      </c>
      <c r="N18" s="49" t="s">
        <v>27</v>
      </c>
      <c r="O18" s="86" t="s">
        <v>63</v>
      </c>
      <c r="P18" s="86" t="s">
        <v>38</v>
      </c>
      <c r="Q18" s="86" t="s">
        <v>38</v>
      </c>
      <c r="R18" s="86" t="s">
        <v>38</v>
      </c>
      <c r="S18" s="87" t="s">
        <v>38</v>
      </c>
      <c r="T18" s="45"/>
      <c r="V18" s="5"/>
      <c r="X18" s="6"/>
    </row>
    <row r="19" spans="1:24" ht="14.25">
      <c r="A19" s="89" t="s">
        <v>141</v>
      </c>
      <c r="B19" s="47">
        <v>100</v>
      </c>
      <c r="C19" s="54">
        <v>17</v>
      </c>
      <c r="D19" s="44">
        <f>10490*B19*1.21</f>
        <v>1269290</v>
      </c>
      <c r="E19" s="44">
        <v>0</v>
      </c>
      <c r="F19" s="44">
        <v>250000</v>
      </c>
      <c r="G19" s="44">
        <f t="shared" si="0"/>
        <v>1269290</v>
      </c>
      <c r="H19" s="44">
        <f t="shared" si="1"/>
        <v>250000</v>
      </c>
      <c r="I19" s="55" t="s">
        <v>36</v>
      </c>
      <c r="J19" s="49" t="s">
        <v>27</v>
      </c>
      <c r="K19" s="49" t="s">
        <v>27</v>
      </c>
      <c r="L19" s="49" t="s">
        <v>27</v>
      </c>
      <c r="M19" s="88" t="s">
        <v>47</v>
      </c>
      <c r="N19" s="49" t="s">
        <v>27</v>
      </c>
      <c r="O19" s="86" t="s">
        <v>63</v>
      </c>
      <c r="P19" s="86" t="s">
        <v>38</v>
      </c>
      <c r="Q19" s="86" t="s">
        <v>38</v>
      </c>
      <c r="R19" s="86" t="s">
        <v>38</v>
      </c>
      <c r="S19" s="87" t="s">
        <v>38</v>
      </c>
      <c r="T19" s="45"/>
      <c r="V19" s="5"/>
      <c r="X19" s="6"/>
    </row>
    <row r="20" spans="1:24" ht="14.25">
      <c r="A20" s="89" t="s">
        <v>142</v>
      </c>
      <c r="B20" s="47">
        <v>182</v>
      </c>
      <c r="C20" s="47">
        <v>9</v>
      </c>
      <c r="D20" s="44">
        <f>8961*B20*1.21</f>
        <v>1973391.42</v>
      </c>
      <c r="E20" s="44">
        <v>0</v>
      </c>
      <c r="F20" s="44">
        <v>450000</v>
      </c>
      <c r="G20" s="44">
        <f t="shared" si="0"/>
        <v>1973391.42</v>
      </c>
      <c r="H20" s="44">
        <f t="shared" si="1"/>
        <v>450000</v>
      </c>
      <c r="I20" s="55" t="s">
        <v>36</v>
      </c>
      <c r="J20" s="49" t="s">
        <v>27</v>
      </c>
      <c r="K20" s="49" t="s">
        <v>27</v>
      </c>
      <c r="L20" s="49" t="s">
        <v>27</v>
      </c>
      <c r="M20" s="88" t="s">
        <v>47</v>
      </c>
      <c r="N20" s="49" t="s">
        <v>27</v>
      </c>
      <c r="O20" s="86" t="s">
        <v>63</v>
      </c>
      <c r="P20" s="86" t="s">
        <v>38</v>
      </c>
      <c r="Q20" s="86" t="s">
        <v>38</v>
      </c>
      <c r="R20" s="86" t="s">
        <v>38</v>
      </c>
      <c r="S20" s="87" t="s">
        <v>38</v>
      </c>
      <c r="T20" s="45"/>
      <c r="V20" s="5"/>
      <c r="X20" s="6"/>
    </row>
    <row r="21" spans="1:24" ht="14.25">
      <c r="A21" s="107" t="s">
        <v>143</v>
      </c>
      <c r="B21" s="108">
        <v>356</v>
      </c>
      <c r="C21" s="108">
        <v>11</v>
      </c>
      <c r="D21" s="64">
        <f>12540*1.21*B21</f>
        <v>5401730.399999999</v>
      </c>
      <c r="E21" s="64">
        <v>0</v>
      </c>
      <c r="F21" s="64">
        <v>900000</v>
      </c>
      <c r="G21" s="64">
        <f t="shared" si="0"/>
        <v>5401730.399999999</v>
      </c>
      <c r="H21" s="64">
        <f t="shared" si="1"/>
        <v>900000</v>
      </c>
      <c r="I21" s="73" t="s">
        <v>36</v>
      </c>
      <c r="J21" s="109" t="s">
        <v>27</v>
      </c>
      <c r="K21" s="109" t="s">
        <v>27</v>
      </c>
      <c r="L21" s="109" t="s">
        <v>27</v>
      </c>
      <c r="M21" s="110" t="s">
        <v>47</v>
      </c>
      <c r="N21" s="109" t="s">
        <v>27</v>
      </c>
      <c r="O21" s="111" t="s">
        <v>63</v>
      </c>
      <c r="P21" s="111" t="s">
        <v>38</v>
      </c>
      <c r="Q21" s="111" t="s">
        <v>38</v>
      </c>
      <c r="R21" s="111" t="s">
        <v>38</v>
      </c>
      <c r="S21" s="112" t="s">
        <v>38</v>
      </c>
      <c r="T21" s="65"/>
      <c r="V21" s="5"/>
      <c r="X21" s="6"/>
    </row>
    <row r="22" spans="1:24" ht="14.25">
      <c r="A22" s="89" t="s">
        <v>144</v>
      </c>
      <c r="B22" s="47">
        <v>220</v>
      </c>
      <c r="C22" s="47">
        <v>15</v>
      </c>
      <c r="D22" s="44">
        <f>8430*1.21*B22</f>
        <v>2244066</v>
      </c>
      <c r="E22" s="44">
        <v>0</v>
      </c>
      <c r="F22" s="44">
        <v>500000</v>
      </c>
      <c r="G22" s="44">
        <f aca="true" t="shared" si="4" ref="G22:G30">D22-E22</f>
        <v>2244066</v>
      </c>
      <c r="H22" s="44">
        <f t="shared" si="1"/>
        <v>500000</v>
      </c>
      <c r="I22" s="55" t="s">
        <v>36</v>
      </c>
      <c r="J22" s="49" t="s">
        <v>27</v>
      </c>
      <c r="K22" s="49" t="s">
        <v>27</v>
      </c>
      <c r="L22" s="49" t="s">
        <v>27</v>
      </c>
      <c r="M22" s="88" t="s">
        <v>47</v>
      </c>
      <c r="N22" s="49" t="s">
        <v>27</v>
      </c>
      <c r="O22" s="86" t="s">
        <v>63</v>
      </c>
      <c r="P22" s="86" t="s">
        <v>38</v>
      </c>
      <c r="Q22" s="86" t="s">
        <v>38</v>
      </c>
      <c r="R22" s="86" t="s">
        <v>38</v>
      </c>
      <c r="S22" s="87" t="s">
        <v>38</v>
      </c>
      <c r="T22" s="45"/>
      <c r="V22" s="5"/>
      <c r="X22" s="6"/>
    </row>
    <row r="23" spans="1:24" ht="14.25">
      <c r="A23" s="89" t="s">
        <v>145</v>
      </c>
      <c r="B23" s="47">
        <v>169</v>
      </c>
      <c r="C23" s="47">
        <v>16</v>
      </c>
      <c r="D23" s="44">
        <f>9150*B23*1.21</f>
        <v>1871083.5</v>
      </c>
      <c r="E23" s="44">
        <v>0</v>
      </c>
      <c r="F23" s="44">
        <v>415000</v>
      </c>
      <c r="G23" s="44">
        <f t="shared" si="4"/>
        <v>1871083.5</v>
      </c>
      <c r="H23" s="44">
        <f t="shared" si="1"/>
        <v>415000</v>
      </c>
      <c r="I23" s="55" t="s">
        <v>36</v>
      </c>
      <c r="J23" s="49" t="s">
        <v>27</v>
      </c>
      <c r="K23" s="49" t="s">
        <v>27</v>
      </c>
      <c r="L23" s="49" t="s">
        <v>27</v>
      </c>
      <c r="M23" s="88" t="s">
        <v>47</v>
      </c>
      <c r="N23" s="49" t="s">
        <v>27</v>
      </c>
      <c r="O23" s="86" t="s">
        <v>63</v>
      </c>
      <c r="P23" s="86" t="s">
        <v>38</v>
      </c>
      <c r="Q23" s="86" t="s">
        <v>38</v>
      </c>
      <c r="R23" s="86" t="s">
        <v>38</v>
      </c>
      <c r="S23" s="87" t="s">
        <v>38</v>
      </c>
      <c r="T23" s="45"/>
      <c r="V23" s="5"/>
      <c r="X23" s="6"/>
    </row>
    <row r="24" spans="1:24" ht="14.25">
      <c r="A24" s="89" t="s">
        <v>146</v>
      </c>
      <c r="B24" s="47">
        <v>416</v>
      </c>
      <c r="C24" s="47">
        <v>10</v>
      </c>
      <c r="D24" s="44">
        <f>11310*1.21*B24</f>
        <v>5693001.600000001</v>
      </c>
      <c r="E24" s="44">
        <v>0</v>
      </c>
      <c r="F24" s="44">
        <v>370000</v>
      </c>
      <c r="G24" s="44">
        <f t="shared" si="4"/>
        <v>5693001.600000001</v>
      </c>
      <c r="H24" s="44">
        <f t="shared" si="1"/>
        <v>370000</v>
      </c>
      <c r="I24" s="55" t="s">
        <v>36</v>
      </c>
      <c r="J24" s="49" t="s">
        <v>27</v>
      </c>
      <c r="K24" s="49" t="s">
        <v>27</v>
      </c>
      <c r="L24" s="49" t="s">
        <v>27</v>
      </c>
      <c r="M24" s="88" t="s">
        <v>47</v>
      </c>
      <c r="N24" s="49" t="s">
        <v>27</v>
      </c>
      <c r="O24" s="86" t="s">
        <v>63</v>
      </c>
      <c r="P24" s="86" t="s">
        <v>38</v>
      </c>
      <c r="Q24" s="86" t="s">
        <v>38</v>
      </c>
      <c r="R24" s="86" t="s">
        <v>38</v>
      </c>
      <c r="S24" s="87" t="s">
        <v>38</v>
      </c>
      <c r="T24" s="45"/>
      <c r="V24" s="5"/>
      <c r="X24" s="6"/>
    </row>
    <row r="25" spans="1:24" ht="14.25">
      <c r="A25" s="107" t="s">
        <v>147</v>
      </c>
      <c r="B25" s="108">
        <v>265</v>
      </c>
      <c r="C25" s="108">
        <v>7</v>
      </c>
      <c r="D25" s="64">
        <f>5490*1.21*B25</f>
        <v>1760368.5</v>
      </c>
      <c r="E25" s="64">
        <v>0</v>
      </c>
      <c r="F25" s="64">
        <v>180000</v>
      </c>
      <c r="G25" s="64">
        <f t="shared" si="4"/>
        <v>1760368.5</v>
      </c>
      <c r="H25" s="64">
        <f t="shared" si="1"/>
        <v>180000</v>
      </c>
      <c r="I25" s="73" t="s">
        <v>36</v>
      </c>
      <c r="J25" s="109" t="s">
        <v>27</v>
      </c>
      <c r="K25" s="109" t="s">
        <v>27</v>
      </c>
      <c r="L25" s="109" t="s">
        <v>27</v>
      </c>
      <c r="M25" s="110" t="s">
        <v>47</v>
      </c>
      <c r="N25" s="109" t="s">
        <v>27</v>
      </c>
      <c r="O25" s="111" t="s">
        <v>63</v>
      </c>
      <c r="P25" s="111" t="s">
        <v>38</v>
      </c>
      <c r="Q25" s="111" t="s">
        <v>38</v>
      </c>
      <c r="R25" s="111" t="s">
        <v>38</v>
      </c>
      <c r="S25" s="112" t="s">
        <v>38</v>
      </c>
      <c r="T25" s="65"/>
      <c r="V25" s="5"/>
      <c r="X25" s="6"/>
    </row>
    <row r="26" spans="1:24" ht="14.25">
      <c r="A26" s="107" t="s">
        <v>148</v>
      </c>
      <c r="B26" s="108">
        <v>181</v>
      </c>
      <c r="C26" s="108">
        <v>10</v>
      </c>
      <c r="D26" s="64">
        <f>11310*1.21*B26</f>
        <v>2477003.1</v>
      </c>
      <c r="E26" s="64">
        <v>0</v>
      </c>
      <c r="F26" s="64">
        <v>550000</v>
      </c>
      <c r="G26" s="64">
        <f t="shared" si="4"/>
        <v>2477003.1</v>
      </c>
      <c r="H26" s="64">
        <f t="shared" si="1"/>
        <v>550000</v>
      </c>
      <c r="I26" s="73" t="s">
        <v>36</v>
      </c>
      <c r="J26" s="109" t="s">
        <v>27</v>
      </c>
      <c r="K26" s="109" t="s">
        <v>27</v>
      </c>
      <c r="L26" s="109" t="s">
        <v>27</v>
      </c>
      <c r="M26" s="110" t="s">
        <v>47</v>
      </c>
      <c r="N26" s="109" t="s">
        <v>27</v>
      </c>
      <c r="O26" s="111" t="s">
        <v>63</v>
      </c>
      <c r="P26" s="111" t="s">
        <v>38</v>
      </c>
      <c r="Q26" s="111" t="s">
        <v>38</v>
      </c>
      <c r="R26" s="111" t="s">
        <v>38</v>
      </c>
      <c r="S26" s="112" t="s">
        <v>38</v>
      </c>
      <c r="T26" s="65"/>
      <c r="V26" s="5"/>
      <c r="X26" s="6"/>
    </row>
    <row r="27" spans="1:24" ht="14.25">
      <c r="A27" s="89" t="s">
        <v>149</v>
      </c>
      <c r="B27" s="47">
        <v>363</v>
      </c>
      <c r="C27" s="47">
        <v>10</v>
      </c>
      <c r="D27" s="44">
        <f>11310*1.21*B27</f>
        <v>4967691.3</v>
      </c>
      <c r="E27" s="44">
        <v>0</v>
      </c>
      <c r="F27" s="44">
        <v>820000</v>
      </c>
      <c r="G27" s="44">
        <f t="shared" si="4"/>
        <v>4967691.3</v>
      </c>
      <c r="H27" s="44">
        <f t="shared" si="1"/>
        <v>820000</v>
      </c>
      <c r="I27" s="55" t="s">
        <v>36</v>
      </c>
      <c r="J27" s="88" t="s">
        <v>47</v>
      </c>
      <c r="K27" s="49" t="s">
        <v>27</v>
      </c>
      <c r="L27" s="88" t="s">
        <v>47</v>
      </c>
      <c r="M27" s="88" t="s">
        <v>47</v>
      </c>
      <c r="N27" s="49" t="s">
        <v>27</v>
      </c>
      <c r="O27" s="86" t="s">
        <v>63</v>
      </c>
      <c r="P27" s="86" t="s">
        <v>38</v>
      </c>
      <c r="Q27" s="86" t="s">
        <v>38</v>
      </c>
      <c r="R27" s="86" t="s">
        <v>38</v>
      </c>
      <c r="S27" s="87" t="s">
        <v>38</v>
      </c>
      <c r="T27" s="45"/>
      <c r="V27" s="5"/>
      <c r="X27" s="6"/>
    </row>
    <row r="28" spans="1:24" ht="14.25">
      <c r="A28" s="89" t="s">
        <v>150</v>
      </c>
      <c r="B28" s="47">
        <v>496</v>
      </c>
      <c r="C28" s="47">
        <v>10</v>
      </c>
      <c r="D28" s="44">
        <f>11310*1.21*B28</f>
        <v>6787809.600000001</v>
      </c>
      <c r="E28" s="44">
        <v>0</v>
      </c>
      <c r="F28" s="44">
        <v>1110000</v>
      </c>
      <c r="G28" s="44">
        <f t="shared" si="4"/>
        <v>6787809.600000001</v>
      </c>
      <c r="H28" s="44">
        <f t="shared" si="1"/>
        <v>1110000</v>
      </c>
      <c r="I28" s="55" t="s">
        <v>36</v>
      </c>
      <c r="J28" s="49" t="s">
        <v>27</v>
      </c>
      <c r="K28" s="49" t="s">
        <v>27</v>
      </c>
      <c r="L28" s="49" t="s">
        <v>27</v>
      </c>
      <c r="M28" s="88" t="s">
        <v>47</v>
      </c>
      <c r="N28" s="49" t="s">
        <v>27</v>
      </c>
      <c r="O28" s="86" t="s">
        <v>63</v>
      </c>
      <c r="P28" s="86" t="s">
        <v>38</v>
      </c>
      <c r="Q28" s="86" t="s">
        <v>38</v>
      </c>
      <c r="R28" s="86" t="s">
        <v>38</v>
      </c>
      <c r="S28" s="87" t="s">
        <v>38</v>
      </c>
      <c r="T28" s="45"/>
      <c r="V28" s="5"/>
      <c r="X28" s="6"/>
    </row>
    <row r="29" spans="1:24" ht="14.25">
      <c r="A29" s="89" t="s">
        <v>151</v>
      </c>
      <c r="B29" s="47">
        <v>91</v>
      </c>
      <c r="C29" s="47">
        <v>12</v>
      </c>
      <c r="D29" s="44">
        <f>B29*1.21*12900</f>
        <v>1420419</v>
      </c>
      <c r="E29" s="44">
        <v>0</v>
      </c>
      <c r="F29" s="44">
        <v>245000</v>
      </c>
      <c r="G29" s="44">
        <f t="shared" si="4"/>
        <v>1420419</v>
      </c>
      <c r="H29" s="44">
        <f t="shared" si="1"/>
        <v>245000</v>
      </c>
      <c r="I29" s="55" t="s">
        <v>36</v>
      </c>
      <c r="J29" s="49" t="s">
        <v>27</v>
      </c>
      <c r="K29" s="49" t="s">
        <v>27</v>
      </c>
      <c r="L29" s="49" t="s">
        <v>27</v>
      </c>
      <c r="M29" s="88" t="s">
        <v>47</v>
      </c>
      <c r="N29" s="49" t="s">
        <v>27</v>
      </c>
      <c r="O29" s="86" t="s">
        <v>63</v>
      </c>
      <c r="P29" s="86" t="s">
        <v>38</v>
      </c>
      <c r="Q29" s="86" t="s">
        <v>38</v>
      </c>
      <c r="R29" s="86" t="s">
        <v>38</v>
      </c>
      <c r="S29" s="87" t="s">
        <v>38</v>
      </c>
      <c r="T29" s="45"/>
      <c r="V29" s="5"/>
      <c r="X29" s="6"/>
    </row>
    <row r="30" spans="1:24" ht="14.25">
      <c r="A30" s="89" t="s">
        <v>152</v>
      </c>
      <c r="B30" s="47">
        <v>176</v>
      </c>
      <c r="C30" s="47">
        <v>17</v>
      </c>
      <c r="D30" s="44">
        <f>10490*B30*1.21</f>
        <v>2233950.4</v>
      </c>
      <c r="E30" s="44">
        <v>0</v>
      </c>
      <c r="F30" s="44">
        <v>550000</v>
      </c>
      <c r="G30" s="44">
        <f t="shared" si="4"/>
        <v>2233950.4</v>
      </c>
      <c r="H30" s="44">
        <f t="shared" si="1"/>
        <v>550000</v>
      </c>
      <c r="I30" s="55" t="s">
        <v>36</v>
      </c>
      <c r="J30" s="49" t="s">
        <v>27</v>
      </c>
      <c r="K30" s="49" t="s">
        <v>27</v>
      </c>
      <c r="L30" s="49" t="s">
        <v>27</v>
      </c>
      <c r="M30" s="88" t="s">
        <v>47</v>
      </c>
      <c r="N30" s="49" t="s">
        <v>27</v>
      </c>
      <c r="O30" s="86" t="s">
        <v>63</v>
      </c>
      <c r="P30" s="86" t="s">
        <v>38</v>
      </c>
      <c r="Q30" s="86" t="s">
        <v>38</v>
      </c>
      <c r="R30" s="86" t="s">
        <v>38</v>
      </c>
      <c r="S30" s="87" t="s">
        <v>38</v>
      </c>
      <c r="T30" s="45"/>
      <c r="V30" s="5"/>
      <c r="X30" s="6"/>
    </row>
    <row r="31" spans="1:24" ht="14.25">
      <c r="A31" s="89" t="s">
        <v>71</v>
      </c>
      <c r="B31" s="47">
        <v>174</v>
      </c>
      <c r="C31" s="47">
        <v>17</v>
      </c>
      <c r="D31" s="44">
        <f>10490*B31*1.21</f>
        <v>2208564.6</v>
      </c>
      <c r="E31" s="44">
        <v>0</v>
      </c>
      <c r="F31" s="44">
        <v>480000</v>
      </c>
      <c r="G31" s="44">
        <f>D31-E31</f>
        <v>2208564.6</v>
      </c>
      <c r="H31" s="44">
        <f aca="true" t="shared" si="5" ref="H31:H36">F31-E31</f>
        <v>480000</v>
      </c>
      <c r="I31" s="55" t="s">
        <v>36</v>
      </c>
      <c r="J31" s="49" t="s">
        <v>27</v>
      </c>
      <c r="K31" s="49" t="s">
        <v>27</v>
      </c>
      <c r="L31" s="49" t="s">
        <v>27</v>
      </c>
      <c r="M31" s="88" t="s">
        <v>47</v>
      </c>
      <c r="N31" s="49" t="s">
        <v>27</v>
      </c>
      <c r="O31" s="86" t="s">
        <v>63</v>
      </c>
      <c r="P31" s="86" t="s">
        <v>38</v>
      </c>
      <c r="Q31" s="86" t="s">
        <v>38</v>
      </c>
      <c r="R31" s="86" t="s">
        <v>38</v>
      </c>
      <c r="S31" s="87" t="s">
        <v>38</v>
      </c>
      <c r="T31" s="45"/>
      <c r="V31" s="5"/>
      <c r="X31" s="6"/>
    </row>
    <row r="32" spans="1:24" ht="14.25">
      <c r="A32" s="89" t="s">
        <v>153</v>
      </c>
      <c r="B32" s="47">
        <v>100</v>
      </c>
      <c r="C32" s="47">
        <v>16</v>
      </c>
      <c r="D32" s="44">
        <f>9150*B32*1.21</f>
        <v>1107150</v>
      </c>
      <c r="E32" s="44">
        <v>0</v>
      </c>
      <c r="F32" s="44">
        <v>211000</v>
      </c>
      <c r="G32" s="44">
        <f>D32-E32</f>
        <v>1107150</v>
      </c>
      <c r="H32" s="44">
        <f t="shared" si="5"/>
        <v>211000</v>
      </c>
      <c r="I32" s="55" t="s">
        <v>36</v>
      </c>
      <c r="J32" s="49" t="s">
        <v>27</v>
      </c>
      <c r="K32" s="49" t="s">
        <v>27</v>
      </c>
      <c r="L32" s="49" t="s">
        <v>27</v>
      </c>
      <c r="M32" s="88" t="s">
        <v>47</v>
      </c>
      <c r="N32" s="49" t="s">
        <v>27</v>
      </c>
      <c r="O32" s="86" t="s">
        <v>63</v>
      </c>
      <c r="P32" s="86" t="s">
        <v>38</v>
      </c>
      <c r="Q32" s="86" t="s">
        <v>38</v>
      </c>
      <c r="R32" s="86" t="s">
        <v>38</v>
      </c>
      <c r="S32" s="87" t="s">
        <v>38</v>
      </c>
      <c r="T32" s="45"/>
      <c r="V32" s="5"/>
      <c r="X32" s="6"/>
    </row>
    <row r="33" spans="1:24" ht="14.25">
      <c r="A33" s="89" t="s">
        <v>154</v>
      </c>
      <c r="B33" s="47">
        <v>286</v>
      </c>
      <c r="C33" s="47">
        <v>7</v>
      </c>
      <c r="D33" s="44">
        <f>5490*1.21*B33</f>
        <v>1899869.4</v>
      </c>
      <c r="E33" s="44">
        <v>0</v>
      </c>
      <c r="F33" s="44">
        <v>1050000</v>
      </c>
      <c r="G33" s="44">
        <f>D33-E33</f>
        <v>1899869.4</v>
      </c>
      <c r="H33" s="44">
        <f t="shared" si="5"/>
        <v>1050000</v>
      </c>
      <c r="I33" s="55" t="s">
        <v>36</v>
      </c>
      <c r="J33" s="49" t="s">
        <v>27</v>
      </c>
      <c r="K33" s="49" t="s">
        <v>27</v>
      </c>
      <c r="L33" s="49" t="s">
        <v>27</v>
      </c>
      <c r="M33" s="88" t="s">
        <v>47</v>
      </c>
      <c r="N33" s="49" t="s">
        <v>27</v>
      </c>
      <c r="O33" s="86" t="s">
        <v>63</v>
      </c>
      <c r="P33" s="86" t="s">
        <v>38</v>
      </c>
      <c r="Q33" s="86" t="s">
        <v>38</v>
      </c>
      <c r="R33" s="86" t="s">
        <v>38</v>
      </c>
      <c r="S33" s="87" t="s">
        <v>38</v>
      </c>
      <c r="T33" s="45"/>
      <c r="V33" s="5"/>
      <c r="X33" s="6"/>
    </row>
    <row r="34" spans="1:24" ht="14.25">
      <c r="A34" s="89" t="s">
        <v>50</v>
      </c>
      <c r="B34" s="47">
        <v>372</v>
      </c>
      <c r="C34" s="47">
        <v>12</v>
      </c>
      <c r="D34" s="44">
        <v>8400000</v>
      </c>
      <c r="E34" s="44">
        <v>0</v>
      </c>
      <c r="F34" s="44">
        <v>1380000</v>
      </c>
      <c r="G34" s="44">
        <f>D34-E34</f>
        <v>8400000</v>
      </c>
      <c r="H34" s="44">
        <f t="shared" si="5"/>
        <v>1380000</v>
      </c>
      <c r="I34" s="55" t="s">
        <v>36</v>
      </c>
      <c r="J34" s="49" t="s">
        <v>27</v>
      </c>
      <c r="K34" s="49" t="s">
        <v>27</v>
      </c>
      <c r="L34" s="49" t="s">
        <v>27</v>
      </c>
      <c r="M34" s="88" t="s">
        <v>47</v>
      </c>
      <c r="N34" s="49" t="s">
        <v>27</v>
      </c>
      <c r="O34" s="86" t="s">
        <v>63</v>
      </c>
      <c r="P34" s="86" t="s">
        <v>38</v>
      </c>
      <c r="Q34" s="86" t="s">
        <v>38</v>
      </c>
      <c r="R34" s="86" t="s">
        <v>38</v>
      </c>
      <c r="S34" s="87" t="s">
        <v>38</v>
      </c>
      <c r="T34" s="45"/>
      <c r="V34" s="5"/>
      <c r="X34" s="6"/>
    </row>
    <row r="35" spans="1:24" ht="14.25">
      <c r="A35" s="89" t="s">
        <v>155</v>
      </c>
      <c r="B35" s="47">
        <v>70</v>
      </c>
      <c r="C35" s="47">
        <v>17</v>
      </c>
      <c r="D35" s="44">
        <f>10490*B35*1.21</f>
        <v>888503</v>
      </c>
      <c r="E35" s="44">
        <v>0</v>
      </c>
      <c r="F35" s="44">
        <v>80000</v>
      </c>
      <c r="G35" s="44">
        <f>D35-E35</f>
        <v>888503</v>
      </c>
      <c r="H35" s="44">
        <f t="shared" si="5"/>
        <v>80000</v>
      </c>
      <c r="I35" s="55" t="s">
        <v>36</v>
      </c>
      <c r="J35" s="49" t="s">
        <v>27</v>
      </c>
      <c r="K35" s="49" t="s">
        <v>27</v>
      </c>
      <c r="L35" s="49" t="s">
        <v>27</v>
      </c>
      <c r="M35" s="88" t="s">
        <v>47</v>
      </c>
      <c r="N35" s="49" t="s">
        <v>27</v>
      </c>
      <c r="O35" s="86" t="s">
        <v>63</v>
      </c>
      <c r="P35" s="86" t="s">
        <v>38</v>
      </c>
      <c r="Q35" s="86" t="s">
        <v>38</v>
      </c>
      <c r="R35" s="86" t="s">
        <v>38</v>
      </c>
      <c r="S35" s="87" t="s">
        <v>38</v>
      </c>
      <c r="T35" s="45"/>
      <c r="V35" s="5"/>
      <c r="X35" s="6"/>
    </row>
    <row r="36" spans="1:24" ht="14.25">
      <c r="A36" s="46" t="s">
        <v>32</v>
      </c>
      <c r="B36" s="47">
        <v>500</v>
      </c>
      <c r="C36" s="47">
        <v>1</v>
      </c>
      <c r="D36" s="50">
        <v>6700000</v>
      </c>
      <c r="E36" s="44">
        <f>0*D36</f>
        <v>0</v>
      </c>
      <c r="F36" s="44">
        <v>6700000</v>
      </c>
      <c r="G36" s="44">
        <f t="shared" si="0"/>
        <v>6700000</v>
      </c>
      <c r="H36" s="44">
        <f t="shared" si="5"/>
        <v>6700000</v>
      </c>
      <c r="I36" s="48" t="s">
        <v>26</v>
      </c>
      <c r="J36" s="49" t="s">
        <v>27</v>
      </c>
      <c r="K36" s="49" t="s">
        <v>27</v>
      </c>
      <c r="L36" s="49" t="s">
        <v>27</v>
      </c>
      <c r="M36" s="49" t="s">
        <v>27</v>
      </c>
      <c r="N36" s="49" t="s">
        <v>27</v>
      </c>
      <c r="O36" s="48" t="s">
        <v>28</v>
      </c>
      <c r="P36" s="48" t="s">
        <v>29</v>
      </c>
      <c r="Q36" s="48" t="s">
        <v>29</v>
      </c>
      <c r="R36" s="48" t="s">
        <v>29</v>
      </c>
      <c r="S36" s="45" t="s">
        <v>29</v>
      </c>
      <c r="T36" s="45"/>
      <c r="V36" s="5" t="s">
        <v>33</v>
      </c>
      <c r="X36" s="6" t="s">
        <v>34</v>
      </c>
    </row>
    <row r="37" spans="1:24" ht="14.25">
      <c r="A37" s="53" t="s">
        <v>35</v>
      </c>
      <c r="B37" s="54">
        <v>97</v>
      </c>
      <c r="C37" s="54">
        <v>7</v>
      </c>
      <c r="D37" s="50">
        <v>1400000</v>
      </c>
      <c r="E37" s="44">
        <f aca="true" t="shared" si="6" ref="E37:E56">0*D37</f>
        <v>0</v>
      </c>
      <c r="F37" s="50">
        <v>1400000</v>
      </c>
      <c r="G37" s="44">
        <f t="shared" si="0"/>
        <v>1400000</v>
      </c>
      <c r="H37" s="44">
        <f aca="true" t="shared" si="7" ref="H37:H57">F37-E37</f>
        <v>1400000</v>
      </c>
      <c r="I37" s="55" t="s">
        <v>36</v>
      </c>
      <c r="J37" s="90" t="s">
        <v>27</v>
      </c>
      <c r="K37" s="90" t="s">
        <v>27</v>
      </c>
      <c r="L37" s="90" t="s">
        <v>27</v>
      </c>
      <c r="M37" s="90" t="s">
        <v>27</v>
      </c>
      <c r="N37" s="90" t="s">
        <v>27</v>
      </c>
      <c r="O37" s="55" t="s">
        <v>37</v>
      </c>
      <c r="P37" s="55" t="s">
        <v>29</v>
      </c>
      <c r="Q37" s="91" t="s">
        <v>38</v>
      </c>
      <c r="R37" s="91" t="s">
        <v>38</v>
      </c>
      <c r="S37" s="92" t="s">
        <v>38</v>
      </c>
      <c r="T37" s="93"/>
      <c r="V37" s="5" t="s">
        <v>39</v>
      </c>
      <c r="X37" s="6" t="s">
        <v>40</v>
      </c>
    </row>
    <row r="38" spans="1:24" ht="14.25">
      <c r="A38" s="67" t="s">
        <v>41</v>
      </c>
      <c r="B38" s="69">
        <v>332</v>
      </c>
      <c r="C38" s="69">
        <v>17</v>
      </c>
      <c r="D38" s="72">
        <v>4200000</v>
      </c>
      <c r="E38" s="64">
        <f t="shared" si="6"/>
        <v>0</v>
      </c>
      <c r="F38" s="72">
        <v>1500000</v>
      </c>
      <c r="G38" s="64">
        <f t="shared" si="0"/>
        <v>4200000</v>
      </c>
      <c r="H38" s="64">
        <f t="shared" si="7"/>
        <v>1500000</v>
      </c>
      <c r="I38" s="73" t="s">
        <v>42</v>
      </c>
      <c r="J38" s="113" t="s">
        <v>27</v>
      </c>
      <c r="K38" s="113" t="s">
        <v>27</v>
      </c>
      <c r="L38" s="113" t="s">
        <v>27</v>
      </c>
      <c r="M38" s="113" t="s">
        <v>27</v>
      </c>
      <c r="N38" s="113" t="s">
        <v>27</v>
      </c>
      <c r="O38" s="73" t="s">
        <v>37</v>
      </c>
      <c r="P38" s="73" t="s">
        <v>29</v>
      </c>
      <c r="Q38" s="114" t="s">
        <v>38</v>
      </c>
      <c r="R38" s="114" t="s">
        <v>38</v>
      </c>
      <c r="S38" s="115" t="s">
        <v>38</v>
      </c>
      <c r="T38" s="116"/>
      <c r="V38" s="5" t="s">
        <v>43</v>
      </c>
      <c r="X38" s="6" t="s">
        <v>44</v>
      </c>
    </row>
    <row r="39" spans="1:24" ht="14.25">
      <c r="A39" s="53" t="s">
        <v>45</v>
      </c>
      <c r="B39" s="54">
        <v>95</v>
      </c>
      <c r="C39" s="54">
        <v>12</v>
      </c>
      <c r="D39" s="50">
        <v>1500000</v>
      </c>
      <c r="E39" s="44">
        <f t="shared" si="6"/>
        <v>0</v>
      </c>
      <c r="F39" s="50">
        <v>500000</v>
      </c>
      <c r="G39" s="44">
        <f t="shared" si="0"/>
        <v>1500000</v>
      </c>
      <c r="H39" s="44">
        <f t="shared" si="7"/>
        <v>500000</v>
      </c>
      <c r="I39" s="55" t="s">
        <v>46</v>
      </c>
      <c r="J39" s="90" t="s">
        <v>27</v>
      </c>
      <c r="K39" s="90" t="s">
        <v>27</v>
      </c>
      <c r="L39" s="90" t="s">
        <v>27</v>
      </c>
      <c r="M39" s="94" t="s">
        <v>47</v>
      </c>
      <c r="N39" s="90" t="s">
        <v>27</v>
      </c>
      <c r="O39" s="55" t="s">
        <v>37</v>
      </c>
      <c r="P39" s="55" t="s">
        <v>29</v>
      </c>
      <c r="Q39" s="91" t="s">
        <v>38</v>
      </c>
      <c r="R39" s="91" t="s">
        <v>38</v>
      </c>
      <c r="S39" s="92" t="s">
        <v>38</v>
      </c>
      <c r="T39" s="93"/>
      <c r="V39" s="5" t="s">
        <v>48</v>
      </c>
      <c r="X39" s="6" t="s">
        <v>49</v>
      </c>
    </row>
    <row r="40" spans="1:24" ht="14.25">
      <c r="A40" s="53" t="s">
        <v>51</v>
      </c>
      <c r="B40" s="54">
        <v>380</v>
      </c>
      <c r="C40" s="54">
        <v>12</v>
      </c>
      <c r="D40" s="50">
        <v>5900000</v>
      </c>
      <c r="E40" s="44">
        <f t="shared" si="6"/>
        <v>0</v>
      </c>
      <c r="F40" s="50">
        <v>370000</v>
      </c>
      <c r="G40" s="44">
        <f t="shared" si="0"/>
        <v>5900000</v>
      </c>
      <c r="H40" s="44">
        <f t="shared" si="7"/>
        <v>370000</v>
      </c>
      <c r="I40" s="55" t="s">
        <v>52</v>
      </c>
      <c r="J40" s="90" t="s">
        <v>27</v>
      </c>
      <c r="K40" s="90" t="s">
        <v>27</v>
      </c>
      <c r="L40" s="90" t="s">
        <v>27</v>
      </c>
      <c r="M40" s="94" t="s">
        <v>47</v>
      </c>
      <c r="N40" s="94" t="s">
        <v>47</v>
      </c>
      <c r="O40" s="55" t="s">
        <v>37</v>
      </c>
      <c r="P40" s="55" t="s">
        <v>29</v>
      </c>
      <c r="Q40" s="91" t="s">
        <v>38</v>
      </c>
      <c r="R40" s="91" t="s">
        <v>38</v>
      </c>
      <c r="S40" s="92" t="s">
        <v>38</v>
      </c>
      <c r="T40" s="93"/>
      <c r="V40" s="5" t="s">
        <v>22</v>
      </c>
      <c r="X40" s="6" t="s">
        <v>53</v>
      </c>
    </row>
    <row r="41" spans="1:20" ht="14.25">
      <c r="A41" s="53" t="s">
        <v>54</v>
      </c>
      <c r="B41" s="54">
        <v>132</v>
      </c>
      <c r="C41" s="54">
        <v>12</v>
      </c>
      <c r="D41" s="50">
        <v>2000000</v>
      </c>
      <c r="E41" s="44">
        <f t="shared" si="6"/>
        <v>0</v>
      </c>
      <c r="F41" s="50">
        <v>500000</v>
      </c>
      <c r="G41" s="44">
        <f t="shared" si="0"/>
        <v>2000000</v>
      </c>
      <c r="H41" s="44">
        <f t="shared" si="7"/>
        <v>500000</v>
      </c>
      <c r="I41" s="55" t="s">
        <v>36</v>
      </c>
      <c r="J41" s="90" t="s">
        <v>27</v>
      </c>
      <c r="K41" s="90" t="s">
        <v>27</v>
      </c>
      <c r="L41" s="90" t="s">
        <v>27</v>
      </c>
      <c r="M41" s="90" t="s">
        <v>27</v>
      </c>
      <c r="N41" s="90" t="s">
        <v>27</v>
      </c>
      <c r="O41" s="55" t="s">
        <v>37</v>
      </c>
      <c r="P41" s="55" t="s">
        <v>29</v>
      </c>
      <c r="Q41" s="91" t="s">
        <v>38</v>
      </c>
      <c r="R41" s="91" t="s">
        <v>38</v>
      </c>
      <c r="S41" s="92" t="s">
        <v>38</v>
      </c>
      <c r="T41" s="93"/>
    </row>
    <row r="42" spans="1:20" ht="14.25">
      <c r="A42" s="53" t="s">
        <v>55</v>
      </c>
      <c r="B42" s="54">
        <v>168</v>
      </c>
      <c r="C42" s="54">
        <v>9</v>
      </c>
      <c r="D42" s="50">
        <v>2650000</v>
      </c>
      <c r="E42" s="44">
        <f t="shared" si="6"/>
        <v>0</v>
      </c>
      <c r="F42" s="50">
        <v>500000</v>
      </c>
      <c r="G42" s="44">
        <f t="shared" si="0"/>
        <v>2650000</v>
      </c>
      <c r="H42" s="44">
        <f t="shared" si="7"/>
        <v>500000</v>
      </c>
      <c r="I42" s="55" t="s">
        <v>56</v>
      </c>
      <c r="J42" s="90" t="s">
        <v>27</v>
      </c>
      <c r="K42" s="90" t="s">
        <v>27</v>
      </c>
      <c r="L42" s="90" t="s">
        <v>27</v>
      </c>
      <c r="M42" s="94" t="s">
        <v>47</v>
      </c>
      <c r="N42" s="90" t="s">
        <v>27</v>
      </c>
      <c r="O42" s="55" t="s">
        <v>37</v>
      </c>
      <c r="P42" s="55" t="s">
        <v>29</v>
      </c>
      <c r="Q42" s="91" t="s">
        <v>38</v>
      </c>
      <c r="R42" s="91" t="s">
        <v>38</v>
      </c>
      <c r="S42" s="92" t="s">
        <v>38</v>
      </c>
      <c r="T42" s="93"/>
    </row>
    <row r="43" spans="1:20" ht="14.25">
      <c r="A43" s="53" t="s">
        <v>57</v>
      </c>
      <c r="B43" s="54">
        <v>825</v>
      </c>
      <c r="C43" s="54">
        <v>12</v>
      </c>
      <c r="D43" s="50">
        <v>17000000</v>
      </c>
      <c r="E43" s="44">
        <f t="shared" si="6"/>
        <v>0</v>
      </c>
      <c r="F43" s="50">
        <v>1917000</v>
      </c>
      <c r="G43" s="44">
        <f t="shared" si="0"/>
        <v>17000000</v>
      </c>
      <c r="H43" s="44">
        <f t="shared" si="7"/>
        <v>1917000</v>
      </c>
      <c r="I43" s="55" t="s">
        <v>52</v>
      </c>
      <c r="J43" s="90" t="s">
        <v>27</v>
      </c>
      <c r="K43" s="90" t="s">
        <v>27</v>
      </c>
      <c r="L43" s="90" t="s">
        <v>27</v>
      </c>
      <c r="M43" s="94" t="s">
        <v>58</v>
      </c>
      <c r="N43" s="90" t="s">
        <v>27</v>
      </c>
      <c r="O43" s="55" t="s">
        <v>59</v>
      </c>
      <c r="P43" s="55" t="s">
        <v>29</v>
      </c>
      <c r="Q43" s="55" t="s">
        <v>60</v>
      </c>
      <c r="R43" s="91" t="s">
        <v>38</v>
      </c>
      <c r="S43" s="92" t="s">
        <v>38</v>
      </c>
      <c r="T43" s="93"/>
    </row>
    <row r="44" spans="1:20" ht="14.25">
      <c r="A44" s="53" t="s">
        <v>61</v>
      </c>
      <c r="B44" s="54">
        <v>93</v>
      </c>
      <c r="C44" s="54">
        <v>12</v>
      </c>
      <c r="D44" s="50">
        <v>4000000</v>
      </c>
      <c r="E44" s="44">
        <f t="shared" si="6"/>
        <v>0</v>
      </c>
      <c r="F44" s="50">
        <f>D44</f>
        <v>4000000</v>
      </c>
      <c r="G44" s="44">
        <f t="shared" si="0"/>
        <v>4000000</v>
      </c>
      <c r="H44" s="44">
        <f t="shared" si="7"/>
        <v>4000000</v>
      </c>
      <c r="I44" s="55" t="s">
        <v>36</v>
      </c>
      <c r="J44" s="90" t="s">
        <v>27</v>
      </c>
      <c r="K44" s="90" t="s">
        <v>27</v>
      </c>
      <c r="L44" s="95" t="s">
        <v>27</v>
      </c>
      <c r="M44" s="94" t="s">
        <v>47</v>
      </c>
      <c r="N44" s="90" t="s">
        <v>27</v>
      </c>
      <c r="O44" s="55" t="s">
        <v>59</v>
      </c>
      <c r="P44" s="55" t="s">
        <v>29</v>
      </c>
      <c r="Q44" s="55" t="s">
        <v>29</v>
      </c>
      <c r="R44" s="55" t="s">
        <v>60</v>
      </c>
      <c r="S44" s="92" t="s">
        <v>38</v>
      </c>
      <c r="T44" s="93"/>
    </row>
    <row r="45" spans="1:20" ht="14.25">
      <c r="A45" s="53" t="s">
        <v>165</v>
      </c>
      <c r="B45" s="54">
        <v>348</v>
      </c>
      <c r="C45" s="54">
        <v>13</v>
      </c>
      <c r="D45" s="50">
        <f>15940*B45*1.21</f>
        <v>6712015.2</v>
      </c>
      <c r="E45" s="44">
        <f t="shared" si="6"/>
        <v>0</v>
      </c>
      <c r="F45" s="50">
        <v>1250000</v>
      </c>
      <c r="G45" s="44">
        <f>D45-E45</f>
        <v>6712015.2</v>
      </c>
      <c r="H45" s="44">
        <f>F45-E45</f>
        <v>1250000</v>
      </c>
      <c r="I45" s="55" t="s">
        <v>164</v>
      </c>
      <c r="J45" s="90" t="s">
        <v>27</v>
      </c>
      <c r="K45" s="90" t="s">
        <v>27</v>
      </c>
      <c r="L45" s="95" t="s">
        <v>27</v>
      </c>
      <c r="M45" s="94" t="s">
        <v>47</v>
      </c>
      <c r="N45" s="94" t="s">
        <v>47</v>
      </c>
      <c r="O45" s="91" t="s">
        <v>63</v>
      </c>
      <c r="P45" s="91" t="s">
        <v>38</v>
      </c>
      <c r="Q45" s="91" t="s">
        <v>38</v>
      </c>
      <c r="R45" s="91" t="s">
        <v>38</v>
      </c>
      <c r="S45" s="91" t="s">
        <v>38</v>
      </c>
      <c r="T45" s="93"/>
    </row>
    <row r="46" spans="1:20" ht="14.25">
      <c r="A46" s="67" t="s">
        <v>162</v>
      </c>
      <c r="B46" s="69">
        <v>180</v>
      </c>
      <c r="C46" s="69">
        <v>12</v>
      </c>
      <c r="D46" s="64">
        <f>B46*1.21*12900</f>
        <v>2809620</v>
      </c>
      <c r="E46" s="64">
        <f t="shared" si="6"/>
        <v>0</v>
      </c>
      <c r="F46" s="72">
        <v>480000</v>
      </c>
      <c r="G46" s="64">
        <f>D46-E46</f>
        <v>2809620</v>
      </c>
      <c r="H46" s="64">
        <f>F46-E46</f>
        <v>480000</v>
      </c>
      <c r="I46" s="73" t="s">
        <v>36</v>
      </c>
      <c r="J46" s="113" t="s">
        <v>27</v>
      </c>
      <c r="K46" s="113" t="s">
        <v>27</v>
      </c>
      <c r="L46" s="117" t="s">
        <v>27</v>
      </c>
      <c r="M46" s="118" t="s">
        <v>47</v>
      </c>
      <c r="N46" s="118" t="s">
        <v>47</v>
      </c>
      <c r="O46" s="114" t="s">
        <v>63</v>
      </c>
      <c r="P46" s="114" t="s">
        <v>38</v>
      </c>
      <c r="Q46" s="114" t="s">
        <v>38</v>
      </c>
      <c r="R46" s="114" t="s">
        <v>38</v>
      </c>
      <c r="S46" s="114" t="s">
        <v>38</v>
      </c>
      <c r="T46" s="116"/>
    </row>
    <row r="47" spans="1:20" ht="14.25">
      <c r="A47" s="53" t="s">
        <v>163</v>
      </c>
      <c r="B47" s="54">
        <v>172</v>
      </c>
      <c r="C47" s="54">
        <v>12</v>
      </c>
      <c r="D47" s="44">
        <f>B47*1.21*12900</f>
        <v>2684748</v>
      </c>
      <c r="E47" s="44">
        <f t="shared" si="6"/>
        <v>0</v>
      </c>
      <c r="F47" s="50">
        <v>450000</v>
      </c>
      <c r="G47" s="44">
        <f>D47-E47</f>
        <v>2684748</v>
      </c>
      <c r="H47" s="44">
        <f>F47-E47</f>
        <v>450000</v>
      </c>
      <c r="I47" s="55" t="s">
        <v>36</v>
      </c>
      <c r="J47" s="90" t="s">
        <v>27</v>
      </c>
      <c r="K47" s="90" t="s">
        <v>27</v>
      </c>
      <c r="L47" s="95" t="s">
        <v>27</v>
      </c>
      <c r="M47" s="94" t="s">
        <v>47</v>
      </c>
      <c r="N47" s="94" t="s">
        <v>47</v>
      </c>
      <c r="O47" s="91" t="s">
        <v>63</v>
      </c>
      <c r="P47" s="91" t="s">
        <v>38</v>
      </c>
      <c r="Q47" s="91" t="s">
        <v>38</v>
      </c>
      <c r="R47" s="91" t="s">
        <v>38</v>
      </c>
      <c r="S47" s="91" t="s">
        <v>38</v>
      </c>
      <c r="T47" s="93"/>
    </row>
    <row r="48" spans="1:20" ht="14.25">
      <c r="A48" s="53" t="s">
        <v>62</v>
      </c>
      <c r="B48" s="54">
        <v>520</v>
      </c>
      <c r="C48" s="54">
        <v>13</v>
      </c>
      <c r="D48" s="50">
        <v>9800000</v>
      </c>
      <c r="E48" s="44">
        <f t="shared" si="6"/>
        <v>0</v>
      </c>
      <c r="F48" s="50">
        <v>1500000</v>
      </c>
      <c r="G48" s="44">
        <f t="shared" si="0"/>
        <v>9800000</v>
      </c>
      <c r="H48" s="44">
        <f t="shared" si="7"/>
        <v>1500000</v>
      </c>
      <c r="I48" s="55" t="s">
        <v>36</v>
      </c>
      <c r="J48" s="90" t="s">
        <v>27</v>
      </c>
      <c r="K48" s="90" t="s">
        <v>27</v>
      </c>
      <c r="L48" s="90" t="s">
        <v>27</v>
      </c>
      <c r="M48" s="90" t="s">
        <v>27</v>
      </c>
      <c r="N48" s="94" t="s">
        <v>47</v>
      </c>
      <c r="O48" s="91" t="s">
        <v>63</v>
      </c>
      <c r="P48" s="91" t="s">
        <v>38</v>
      </c>
      <c r="Q48" s="91" t="s">
        <v>38</v>
      </c>
      <c r="R48" s="91" t="s">
        <v>38</v>
      </c>
      <c r="S48" s="92" t="s">
        <v>38</v>
      </c>
      <c r="T48" s="93"/>
    </row>
    <row r="49" spans="1:20" ht="14.25">
      <c r="A49" s="53" t="s">
        <v>64</v>
      </c>
      <c r="B49" s="54">
        <v>323</v>
      </c>
      <c r="C49" s="54">
        <v>12</v>
      </c>
      <c r="D49" s="50">
        <v>5000000</v>
      </c>
      <c r="E49" s="44">
        <f t="shared" si="6"/>
        <v>0</v>
      </c>
      <c r="F49" s="50">
        <v>1250000</v>
      </c>
      <c r="G49" s="44">
        <f t="shared" si="0"/>
        <v>5000000</v>
      </c>
      <c r="H49" s="44">
        <f t="shared" si="7"/>
        <v>1250000</v>
      </c>
      <c r="I49" s="55" t="s">
        <v>36</v>
      </c>
      <c r="J49" s="90" t="s">
        <v>27</v>
      </c>
      <c r="K49" s="90" t="s">
        <v>27</v>
      </c>
      <c r="L49" s="90" t="s">
        <v>27</v>
      </c>
      <c r="M49" s="90" t="s">
        <v>27</v>
      </c>
      <c r="N49" s="90" t="s">
        <v>27</v>
      </c>
      <c r="O49" s="91" t="s">
        <v>63</v>
      </c>
      <c r="P49" s="91" t="s">
        <v>38</v>
      </c>
      <c r="Q49" s="91" t="s">
        <v>38</v>
      </c>
      <c r="R49" s="91" t="s">
        <v>38</v>
      </c>
      <c r="S49" s="92" t="s">
        <v>38</v>
      </c>
      <c r="T49" s="93"/>
    </row>
    <row r="50" spans="1:20" ht="14.25">
      <c r="A50" s="53" t="s">
        <v>65</v>
      </c>
      <c r="B50" s="54">
        <v>218</v>
      </c>
      <c r="C50" s="54">
        <v>7</v>
      </c>
      <c r="D50" s="50">
        <v>1450000</v>
      </c>
      <c r="E50" s="44">
        <f t="shared" si="6"/>
        <v>0</v>
      </c>
      <c r="F50" s="50">
        <f>D50</f>
        <v>1450000</v>
      </c>
      <c r="G50" s="44">
        <f t="shared" si="0"/>
        <v>1450000</v>
      </c>
      <c r="H50" s="44">
        <f t="shared" si="7"/>
        <v>1450000</v>
      </c>
      <c r="I50" s="55" t="s">
        <v>36</v>
      </c>
      <c r="J50" s="90" t="s">
        <v>27</v>
      </c>
      <c r="K50" s="90" t="s">
        <v>27</v>
      </c>
      <c r="L50" s="94" t="s">
        <v>66</v>
      </c>
      <c r="M50" s="90" t="s">
        <v>27</v>
      </c>
      <c r="N50" s="90" t="s">
        <v>27</v>
      </c>
      <c r="O50" s="91" t="s">
        <v>63</v>
      </c>
      <c r="P50" s="91" t="s">
        <v>38</v>
      </c>
      <c r="Q50" s="91" t="s">
        <v>38</v>
      </c>
      <c r="R50" s="91" t="s">
        <v>38</v>
      </c>
      <c r="S50" s="92" t="s">
        <v>38</v>
      </c>
      <c r="T50" s="93"/>
    </row>
    <row r="51" spans="1:20" ht="14.25">
      <c r="A51" s="96" t="s">
        <v>67</v>
      </c>
      <c r="B51" s="97">
        <v>214</v>
      </c>
      <c r="C51" s="97">
        <v>12</v>
      </c>
      <c r="D51" s="98">
        <v>0</v>
      </c>
      <c r="E51" s="99">
        <f t="shared" si="6"/>
        <v>0</v>
      </c>
      <c r="F51" s="98">
        <v>0</v>
      </c>
      <c r="G51" s="99">
        <f t="shared" si="0"/>
        <v>0</v>
      </c>
      <c r="H51" s="99">
        <f t="shared" si="7"/>
        <v>0</v>
      </c>
      <c r="I51" s="91" t="s">
        <v>36</v>
      </c>
      <c r="J51" s="100" t="s">
        <v>27</v>
      </c>
      <c r="K51" s="100" t="s">
        <v>27</v>
      </c>
      <c r="L51" s="100" t="s">
        <v>27</v>
      </c>
      <c r="M51" s="94" t="s">
        <v>47</v>
      </c>
      <c r="N51" s="100" t="s">
        <v>27</v>
      </c>
      <c r="O51" s="91" t="s">
        <v>59</v>
      </c>
      <c r="P51" s="91" t="s">
        <v>29</v>
      </c>
      <c r="Q51" s="91" t="s">
        <v>38</v>
      </c>
      <c r="R51" s="91" t="s">
        <v>38</v>
      </c>
      <c r="S51" s="92" t="s">
        <v>38</v>
      </c>
      <c r="T51" s="92"/>
    </row>
    <row r="52" spans="1:20" ht="14.25">
      <c r="A52" s="53" t="s">
        <v>68</v>
      </c>
      <c r="B52" s="54">
        <v>148</v>
      </c>
      <c r="C52" s="54">
        <v>17</v>
      </c>
      <c r="D52" s="50">
        <v>1900000</v>
      </c>
      <c r="E52" s="44">
        <f t="shared" si="6"/>
        <v>0</v>
      </c>
      <c r="F52" s="50">
        <v>500000</v>
      </c>
      <c r="G52" s="44">
        <f t="shared" si="0"/>
        <v>1900000</v>
      </c>
      <c r="H52" s="44">
        <f t="shared" si="7"/>
        <v>500000</v>
      </c>
      <c r="I52" s="55" t="s">
        <v>30</v>
      </c>
      <c r="J52" s="90" t="s">
        <v>27</v>
      </c>
      <c r="K52" s="90" t="s">
        <v>27</v>
      </c>
      <c r="L52" s="90" t="s">
        <v>27</v>
      </c>
      <c r="M52" s="90" t="s">
        <v>27</v>
      </c>
      <c r="N52" s="90" t="s">
        <v>27</v>
      </c>
      <c r="O52" s="91" t="s">
        <v>63</v>
      </c>
      <c r="P52" s="91" t="s">
        <v>38</v>
      </c>
      <c r="Q52" s="91" t="s">
        <v>38</v>
      </c>
      <c r="R52" s="91" t="s">
        <v>38</v>
      </c>
      <c r="S52" s="92" t="s">
        <v>38</v>
      </c>
      <c r="T52" s="93"/>
    </row>
    <row r="53" spans="1:20" ht="14.25">
      <c r="A53" s="53" t="s">
        <v>69</v>
      </c>
      <c r="B53" s="54">
        <v>147</v>
      </c>
      <c r="C53" s="54">
        <v>17</v>
      </c>
      <c r="D53" s="50">
        <v>1870000</v>
      </c>
      <c r="E53" s="44">
        <f t="shared" si="6"/>
        <v>0</v>
      </c>
      <c r="F53" s="50">
        <v>500000</v>
      </c>
      <c r="G53" s="44">
        <f t="shared" si="0"/>
        <v>1870000</v>
      </c>
      <c r="H53" s="44">
        <f t="shared" si="7"/>
        <v>500000</v>
      </c>
      <c r="I53" s="55" t="s">
        <v>70</v>
      </c>
      <c r="J53" s="90" t="s">
        <v>27</v>
      </c>
      <c r="K53" s="90" t="s">
        <v>27</v>
      </c>
      <c r="L53" s="90" t="s">
        <v>27</v>
      </c>
      <c r="M53" s="90" t="s">
        <v>27</v>
      </c>
      <c r="N53" s="90" t="s">
        <v>27</v>
      </c>
      <c r="O53" s="91" t="s">
        <v>63</v>
      </c>
      <c r="P53" s="91" t="s">
        <v>38</v>
      </c>
      <c r="Q53" s="91" t="s">
        <v>38</v>
      </c>
      <c r="R53" s="91" t="s">
        <v>38</v>
      </c>
      <c r="S53" s="92" t="s">
        <v>38</v>
      </c>
      <c r="T53" s="93"/>
    </row>
    <row r="54" spans="1:20" ht="14.25">
      <c r="A54" s="53" t="s">
        <v>71</v>
      </c>
      <c r="B54" s="54">
        <v>174</v>
      </c>
      <c r="C54" s="54">
        <v>17</v>
      </c>
      <c r="D54" s="50">
        <v>2200000</v>
      </c>
      <c r="E54" s="44">
        <f t="shared" si="6"/>
        <v>0</v>
      </c>
      <c r="F54" s="50">
        <v>400000</v>
      </c>
      <c r="G54" s="44">
        <f t="shared" si="0"/>
        <v>2200000</v>
      </c>
      <c r="H54" s="44">
        <f t="shared" si="7"/>
        <v>400000</v>
      </c>
      <c r="I54" s="55" t="s">
        <v>36</v>
      </c>
      <c r="J54" s="90" t="s">
        <v>27</v>
      </c>
      <c r="K54" s="90" t="s">
        <v>27</v>
      </c>
      <c r="L54" s="90" t="s">
        <v>27</v>
      </c>
      <c r="M54" s="90" t="s">
        <v>47</v>
      </c>
      <c r="N54" s="90" t="s">
        <v>27</v>
      </c>
      <c r="O54" s="91" t="s">
        <v>63</v>
      </c>
      <c r="P54" s="91" t="s">
        <v>38</v>
      </c>
      <c r="Q54" s="91" t="s">
        <v>38</v>
      </c>
      <c r="R54" s="91" t="s">
        <v>38</v>
      </c>
      <c r="S54" s="92" t="s">
        <v>38</v>
      </c>
      <c r="T54" s="93"/>
    </row>
    <row r="55" spans="1:20" ht="14.25">
      <c r="A55" s="53" t="s">
        <v>72</v>
      </c>
      <c r="B55" s="54">
        <v>409</v>
      </c>
      <c r="C55" s="54">
        <v>13</v>
      </c>
      <c r="D55" s="50">
        <v>7700000</v>
      </c>
      <c r="E55" s="44">
        <f t="shared" si="6"/>
        <v>0</v>
      </c>
      <c r="F55" s="50">
        <v>1200000</v>
      </c>
      <c r="G55" s="44">
        <f t="shared" si="0"/>
        <v>7700000</v>
      </c>
      <c r="H55" s="44">
        <f t="shared" si="7"/>
        <v>1200000</v>
      </c>
      <c r="I55" s="55" t="s">
        <v>36</v>
      </c>
      <c r="J55" s="90" t="s">
        <v>27</v>
      </c>
      <c r="K55" s="90" t="s">
        <v>27</v>
      </c>
      <c r="L55" s="90" t="s">
        <v>27</v>
      </c>
      <c r="M55" s="90" t="s">
        <v>27</v>
      </c>
      <c r="N55" s="90" t="s">
        <v>27</v>
      </c>
      <c r="O55" s="91" t="s">
        <v>63</v>
      </c>
      <c r="P55" s="91" t="s">
        <v>38</v>
      </c>
      <c r="Q55" s="91" t="s">
        <v>38</v>
      </c>
      <c r="R55" s="91" t="s">
        <v>38</v>
      </c>
      <c r="S55" s="92" t="s">
        <v>38</v>
      </c>
      <c r="T55" s="93"/>
    </row>
    <row r="56" spans="1:20" ht="14.25">
      <c r="A56" s="67" t="s">
        <v>73</v>
      </c>
      <c r="B56" s="69">
        <v>402</v>
      </c>
      <c r="C56" s="69">
        <v>13</v>
      </c>
      <c r="D56" s="72">
        <v>7500000</v>
      </c>
      <c r="E56" s="64">
        <f t="shared" si="6"/>
        <v>0</v>
      </c>
      <c r="F56" s="72">
        <v>1200000</v>
      </c>
      <c r="G56" s="64">
        <f t="shared" si="0"/>
        <v>7500000</v>
      </c>
      <c r="H56" s="64">
        <f t="shared" si="7"/>
        <v>1200000</v>
      </c>
      <c r="I56" s="73" t="s">
        <v>36</v>
      </c>
      <c r="J56" s="113" t="s">
        <v>27</v>
      </c>
      <c r="K56" s="113" t="s">
        <v>27</v>
      </c>
      <c r="L56" s="113" t="s">
        <v>27</v>
      </c>
      <c r="M56" s="113" t="s">
        <v>27</v>
      </c>
      <c r="N56" s="113" t="s">
        <v>27</v>
      </c>
      <c r="O56" s="114" t="s">
        <v>63</v>
      </c>
      <c r="P56" s="114" t="s">
        <v>38</v>
      </c>
      <c r="Q56" s="114" t="s">
        <v>38</v>
      </c>
      <c r="R56" s="114" t="s">
        <v>38</v>
      </c>
      <c r="S56" s="115" t="s">
        <v>38</v>
      </c>
      <c r="T56" s="116"/>
    </row>
    <row r="57" spans="1:20" ht="15" thickBot="1">
      <c r="A57" s="101" t="s">
        <v>74</v>
      </c>
      <c r="B57" s="102">
        <v>98</v>
      </c>
      <c r="C57" s="102">
        <v>12</v>
      </c>
      <c r="D57" s="59">
        <v>1500000</v>
      </c>
      <c r="E57" s="59">
        <f>0*D57</f>
        <v>0</v>
      </c>
      <c r="F57" s="59">
        <v>400000</v>
      </c>
      <c r="G57" s="59">
        <f t="shared" si="0"/>
        <v>1500000</v>
      </c>
      <c r="H57" s="59">
        <f t="shared" si="7"/>
        <v>400000</v>
      </c>
      <c r="I57" s="60" t="s">
        <v>36</v>
      </c>
      <c r="J57" s="103" t="s">
        <v>27</v>
      </c>
      <c r="K57" s="103" t="s">
        <v>27</v>
      </c>
      <c r="L57" s="103" t="s">
        <v>27</v>
      </c>
      <c r="M57" s="103" t="s">
        <v>58</v>
      </c>
      <c r="N57" s="103" t="s">
        <v>27</v>
      </c>
      <c r="O57" s="104" t="s">
        <v>63</v>
      </c>
      <c r="P57" s="104" t="s">
        <v>38</v>
      </c>
      <c r="Q57" s="104" t="s">
        <v>38</v>
      </c>
      <c r="R57" s="104" t="s">
        <v>38</v>
      </c>
      <c r="S57" s="105" t="s">
        <v>38</v>
      </c>
      <c r="T57" s="106"/>
    </row>
    <row r="59" spans="1:8" ht="14.25">
      <c r="A59" s="5" t="s">
        <v>75</v>
      </c>
      <c r="B59" s="31">
        <f>SUM(B37:B57)</f>
        <v>5475</v>
      </c>
      <c r="D59" s="13">
        <f>SUM(D9:D57)</f>
        <v>225915198.76999998</v>
      </c>
      <c r="E59" s="13">
        <f>SUM(E9:E57)</f>
        <v>31750000</v>
      </c>
      <c r="F59" s="13">
        <f>SUM(F9:F57)</f>
        <v>101216000</v>
      </c>
      <c r="G59" s="13">
        <f>SUM(G9:G57)</f>
        <v>194165198.76999998</v>
      </c>
      <c r="H59" s="13">
        <f>SUM(H9:H57)</f>
        <v>69466000</v>
      </c>
    </row>
    <row r="60" ht="15" thickBot="1"/>
    <row r="61" spans="1:18" ht="15" thickBot="1">
      <c r="A61" s="14" t="s">
        <v>135</v>
      </c>
      <c r="B61" s="15" t="s">
        <v>5</v>
      </c>
      <c r="D61" s="15" t="s">
        <v>7</v>
      </c>
      <c r="E61" s="15" t="s">
        <v>76</v>
      </c>
      <c r="F61" s="15" t="s">
        <v>9</v>
      </c>
      <c r="G61" s="15" t="s">
        <v>10</v>
      </c>
      <c r="H61" s="15" t="s">
        <v>11</v>
      </c>
      <c r="I61" s="15" t="s">
        <v>12</v>
      </c>
      <c r="M61" s="15" t="s">
        <v>18</v>
      </c>
      <c r="N61" s="15" t="s">
        <v>19</v>
      </c>
      <c r="O61" s="15" t="s">
        <v>20</v>
      </c>
      <c r="P61" s="15" t="s">
        <v>21</v>
      </c>
      <c r="Q61" s="16" t="s">
        <v>22</v>
      </c>
      <c r="R61" s="16" t="s">
        <v>23</v>
      </c>
    </row>
    <row r="62" spans="1:18" ht="14.25">
      <c r="A62" s="46" t="s">
        <v>136</v>
      </c>
      <c r="B62" s="47">
        <v>500</v>
      </c>
      <c r="D62" s="44">
        <v>6000000</v>
      </c>
      <c r="E62" s="44">
        <v>4200000</v>
      </c>
      <c r="F62" s="44">
        <v>6000000</v>
      </c>
      <c r="G62" s="44">
        <f>D62-E62</f>
        <v>1800000</v>
      </c>
      <c r="H62" s="44">
        <f>G62</f>
        <v>1800000</v>
      </c>
      <c r="I62" s="48" t="s">
        <v>26</v>
      </c>
      <c r="M62" s="7" t="s">
        <v>37</v>
      </c>
      <c r="N62" s="7" t="s">
        <v>29</v>
      </c>
      <c r="O62" s="7" t="s">
        <v>29</v>
      </c>
      <c r="P62" s="7" t="s">
        <v>29</v>
      </c>
      <c r="Q62" s="8" t="s">
        <v>38</v>
      </c>
      <c r="R62" s="8"/>
    </row>
    <row r="63" spans="1:18" ht="14.25">
      <c r="A63" s="46" t="s">
        <v>78</v>
      </c>
      <c r="B63" s="47">
        <v>350</v>
      </c>
      <c r="D63" s="44">
        <v>650000</v>
      </c>
      <c r="E63" s="44">
        <v>350000</v>
      </c>
      <c r="F63" s="50">
        <v>650000</v>
      </c>
      <c r="G63" s="50">
        <f>D63-E63</f>
        <v>300000</v>
      </c>
      <c r="H63" s="50">
        <f>G63</f>
        <v>300000</v>
      </c>
      <c r="I63" s="48" t="s">
        <v>36</v>
      </c>
      <c r="M63" s="7" t="s">
        <v>79</v>
      </c>
      <c r="N63" s="7" t="s">
        <v>29</v>
      </c>
      <c r="O63" s="7" t="s">
        <v>38</v>
      </c>
      <c r="P63" s="7" t="s">
        <v>38</v>
      </c>
      <c r="Q63" s="8" t="s">
        <v>38</v>
      </c>
      <c r="R63" s="8"/>
    </row>
    <row r="64" spans="1:18" ht="14.25">
      <c r="A64" s="46" t="s">
        <v>184</v>
      </c>
      <c r="B64" s="47">
        <v>300</v>
      </c>
      <c r="D64" s="44">
        <v>1500000</v>
      </c>
      <c r="E64" s="44">
        <v>0</v>
      </c>
      <c r="F64" s="50">
        <v>1500000</v>
      </c>
      <c r="G64" s="50">
        <f>D64-E64</f>
        <v>1500000</v>
      </c>
      <c r="H64" s="50">
        <f>G64</f>
        <v>1500000</v>
      </c>
      <c r="I64" s="48" t="s">
        <v>36</v>
      </c>
      <c r="M64" s="7"/>
      <c r="N64" s="7"/>
      <c r="O64" s="7"/>
      <c r="P64" s="7"/>
      <c r="Q64" s="8"/>
      <c r="R64" s="8"/>
    </row>
    <row r="65" spans="1:18" ht="14.25">
      <c r="A65" s="46" t="s">
        <v>166</v>
      </c>
      <c r="B65" s="47">
        <v>200</v>
      </c>
      <c r="D65" s="44">
        <v>400000</v>
      </c>
      <c r="E65" s="44">
        <v>0</v>
      </c>
      <c r="F65" s="50">
        <v>400000</v>
      </c>
      <c r="G65" s="50">
        <v>400000</v>
      </c>
      <c r="H65" s="50">
        <v>400000</v>
      </c>
      <c r="I65" s="48" t="s">
        <v>36</v>
      </c>
      <c r="M65" s="7"/>
      <c r="N65" s="7"/>
      <c r="O65" s="7"/>
      <c r="P65" s="7"/>
      <c r="Q65" s="8"/>
      <c r="R65" s="8"/>
    </row>
    <row r="66" spans="1:18" ht="14.25">
      <c r="A66" s="46" t="s">
        <v>80</v>
      </c>
      <c r="B66" s="51">
        <v>3000</v>
      </c>
      <c r="D66" s="44">
        <v>7400000</v>
      </c>
      <c r="E66" s="44">
        <f>0.5*D66</f>
        <v>3700000</v>
      </c>
      <c r="F66" s="50">
        <v>500000</v>
      </c>
      <c r="G66" s="50">
        <f aca="true" t="shared" si="8" ref="G66:G71">D66-E66</f>
        <v>3700000</v>
      </c>
      <c r="H66" s="50">
        <f>F66</f>
        <v>500000</v>
      </c>
      <c r="I66" s="48" t="s">
        <v>36</v>
      </c>
      <c r="M66" s="7" t="s">
        <v>79</v>
      </c>
      <c r="N66" s="7" t="s">
        <v>38</v>
      </c>
      <c r="O66" s="7" t="s">
        <v>38</v>
      </c>
      <c r="P66" s="7" t="s">
        <v>38</v>
      </c>
      <c r="Q66" s="8" t="s">
        <v>38</v>
      </c>
      <c r="R66" s="8"/>
    </row>
    <row r="67" spans="1:18" ht="14.25">
      <c r="A67" s="67" t="s">
        <v>81</v>
      </c>
      <c r="B67" s="69">
        <v>100</v>
      </c>
      <c r="D67" s="72">
        <v>12000000</v>
      </c>
      <c r="E67" s="72">
        <f>0.7*D67</f>
        <v>8400000</v>
      </c>
      <c r="F67" s="72">
        <v>12000000</v>
      </c>
      <c r="G67" s="72">
        <f t="shared" si="8"/>
        <v>3600000</v>
      </c>
      <c r="H67" s="72">
        <v>3600000</v>
      </c>
      <c r="I67" s="73" t="s">
        <v>36</v>
      </c>
      <c r="M67" s="9" t="s">
        <v>82</v>
      </c>
      <c r="N67" s="9" t="s">
        <v>38</v>
      </c>
      <c r="O67" s="9" t="s">
        <v>38</v>
      </c>
      <c r="P67" s="9" t="s">
        <v>38</v>
      </c>
      <c r="Q67" s="10" t="s">
        <v>38</v>
      </c>
      <c r="R67" s="10"/>
    </row>
    <row r="68" spans="1:18" ht="14.25">
      <c r="A68" s="67" t="s">
        <v>137</v>
      </c>
      <c r="B68" s="69">
        <v>800</v>
      </c>
      <c r="D68" s="72">
        <v>2400000</v>
      </c>
      <c r="E68" s="72">
        <v>0</v>
      </c>
      <c r="F68" s="72">
        <v>1200000</v>
      </c>
      <c r="G68" s="72">
        <f t="shared" si="8"/>
        <v>2400000</v>
      </c>
      <c r="H68" s="72">
        <v>1200000</v>
      </c>
      <c r="I68" s="73" t="s">
        <v>36</v>
      </c>
      <c r="M68" s="9"/>
      <c r="N68" s="9"/>
      <c r="O68" s="9"/>
      <c r="P68" s="9"/>
      <c r="Q68" s="10"/>
      <c r="R68" s="10"/>
    </row>
    <row r="69" spans="1:18" ht="14.25">
      <c r="A69" s="67" t="s">
        <v>138</v>
      </c>
      <c r="B69" s="68">
        <v>1000</v>
      </c>
      <c r="D69" s="72">
        <v>3000000</v>
      </c>
      <c r="E69" s="72">
        <v>1500000</v>
      </c>
      <c r="F69" s="72">
        <v>1500000</v>
      </c>
      <c r="G69" s="72">
        <f t="shared" si="8"/>
        <v>1500000</v>
      </c>
      <c r="H69" s="72">
        <f>G69</f>
        <v>1500000</v>
      </c>
      <c r="I69" s="73" t="s">
        <v>36</v>
      </c>
      <c r="M69" s="9"/>
      <c r="N69" s="9"/>
      <c r="O69" s="9"/>
      <c r="P69" s="9"/>
      <c r="Q69" s="10"/>
      <c r="R69" s="10"/>
    </row>
    <row r="70" spans="1:18" ht="14.25">
      <c r="A70" s="67" t="s">
        <v>83</v>
      </c>
      <c r="B70" s="69">
        <v>0</v>
      </c>
      <c r="D70" s="72">
        <v>3000000</v>
      </c>
      <c r="E70" s="72">
        <f>0.7*D70</f>
        <v>2100000</v>
      </c>
      <c r="F70" s="72">
        <v>3000000</v>
      </c>
      <c r="G70" s="72">
        <f t="shared" si="8"/>
        <v>900000</v>
      </c>
      <c r="H70" s="72">
        <f>G70</f>
        <v>900000</v>
      </c>
      <c r="I70" s="73" t="s">
        <v>36</v>
      </c>
      <c r="M70" s="9" t="s">
        <v>82</v>
      </c>
      <c r="N70" s="9" t="s">
        <v>38</v>
      </c>
      <c r="O70" s="9" t="s">
        <v>38</v>
      </c>
      <c r="P70" s="9" t="s">
        <v>38</v>
      </c>
      <c r="Q70" s="10" t="s">
        <v>38</v>
      </c>
      <c r="R70" s="10"/>
    </row>
    <row r="71" spans="1:18" ht="15" thickBot="1">
      <c r="A71" s="70" t="s">
        <v>84</v>
      </c>
      <c r="B71" s="71">
        <v>250</v>
      </c>
      <c r="D71" s="66">
        <v>1400000</v>
      </c>
      <c r="E71" s="66">
        <v>0</v>
      </c>
      <c r="F71" s="74">
        <v>400000</v>
      </c>
      <c r="G71" s="74">
        <f t="shared" si="8"/>
        <v>1400000</v>
      </c>
      <c r="H71" s="74">
        <v>400000</v>
      </c>
      <c r="I71" s="75" t="s">
        <v>46</v>
      </c>
      <c r="M71" s="11" t="s">
        <v>37</v>
      </c>
      <c r="N71" s="11" t="s">
        <v>29</v>
      </c>
      <c r="O71" s="11" t="s">
        <v>38</v>
      </c>
      <c r="P71" s="11" t="s">
        <v>38</v>
      </c>
      <c r="Q71" s="12" t="s">
        <v>38</v>
      </c>
      <c r="R71" s="12"/>
    </row>
    <row r="73" spans="1:8" ht="14.25">
      <c r="A73" s="5" t="s">
        <v>75</v>
      </c>
      <c r="B73" s="31">
        <f>SUM(B62:B71)</f>
        <v>6500</v>
      </c>
      <c r="D73" s="13">
        <f>SUM(D62:D71)</f>
        <v>37750000</v>
      </c>
      <c r="E73" s="13">
        <f>SUM(E62:E71)</f>
        <v>20250000</v>
      </c>
      <c r="F73" s="13">
        <f>SUM(F62:F71)</f>
        <v>27150000</v>
      </c>
      <c r="G73" s="13">
        <f>SUM(G62:G71)</f>
        <v>17500000</v>
      </c>
      <c r="H73" s="13">
        <f>SUM(H62:H71)</f>
        <v>12100000</v>
      </c>
    </row>
    <row r="74" ht="14.25">
      <c r="E74" s="13"/>
    </row>
    <row r="75" spans="1:5" ht="15.75" thickBot="1">
      <c r="A75" s="4" t="s">
        <v>85</v>
      </c>
      <c r="E75" s="13"/>
    </row>
    <row r="76" spans="1:18" ht="15" thickBot="1">
      <c r="A76" s="18"/>
      <c r="D76" s="14" t="s">
        <v>7</v>
      </c>
      <c r="E76" s="19" t="s">
        <v>86</v>
      </c>
      <c r="F76" s="15" t="s">
        <v>77</v>
      </c>
      <c r="G76" s="15" t="s">
        <v>12</v>
      </c>
      <c r="M76" s="15" t="s">
        <v>18</v>
      </c>
      <c r="N76" s="15" t="s">
        <v>19</v>
      </c>
      <c r="O76" s="15" t="s">
        <v>20</v>
      </c>
      <c r="P76" s="15" t="s">
        <v>21</v>
      </c>
      <c r="Q76" s="16" t="s">
        <v>22</v>
      </c>
      <c r="R76" s="16" t="s">
        <v>23</v>
      </c>
    </row>
    <row r="77" spans="1:18" ht="14.25">
      <c r="A77" s="41" t="s">
        <v>87</v>
      </c>
      <c r="D77" s="42">
        <v>7300000</v>
      </c>
      <c r="E77" s="43">
        <f>0.25*D77</f>
        <v>1825000</v>
      </c>
      <c r="F77" s="44">
        <f aca="true" t="shared" si="9" ref="F77:F82">D77-E77</f>
        <v>5475000</v>
      </c>
      <c r="G77" s="48" t="s">
        <v>26</v>
      </c>
      <c r="M77" s="7" t="s">
        <v>88</v>
      </c>
      <c r="N77" s="7" t="s">
        <v>29</v>
      </c>
      <c r="O77" s="7" t="s">
        <v>29</v>
      </c>
      <c r="P77" s="7" t="s">
        <v>29</v>
      </c>
      <c r="Q77" s="7" t="s">
        <v>29</v>
      </c>
      <c r="R77" s="8"/>
    </row>
    <row r="78" spans="1:18" ht="14.25">
      <c r="A78" s="61" t="s">
        <v>89</v>
      </c>
      <c r="D78" s="62">
        <v>8500000</v>
      </c>
      <c r="E78" s="63">
        <f>0.25*D78</f>
        <v>2125000</v>
      </c>
      <c r="F78" s="64">
        <f t="shared" si="9"/>
        <v>6375000</v>
      </c>
      <c r="G78" s="85" t="s">
        <v>36</v>
      </c>
      <c r="M78" s="7" t="s">
        <v>88</v>
      </c>
      <c r="N78" s="7" t="s">
        <v>29</v>
      </c>
      <c r="O78" s="7" t="s">
        <v>29</v>
      </c>
      <c r="P78" s="7" t="s">
        <v>29</v>
      </c>
      <c r="Q78" s="7" t="s">
        <v>29</v>
      </c>
      <c r="R78" s="8"/>
    </row>
    <row r="79" spans="1:18" ht="14.25">
      <c r="A79" s="34" t="s">
        <v>90</v>
      </c>
      <c r="D79" s="39">
        <v>12000000</v>
      </c>
      <c r="E79" s="36">
        <f>0.5*D79</f>
        <v>6000000</v>
      </c>
      <c r="F79" s="37">
        <f t="shared" si="9"/>
        <v>6000000</v>
      </c>
      <c r="G79" s="40" t="s">
        <v>36</v>
      </c>
      <c r="M79" s="9" t="s">
        <v>91</v>
      </c>
      <c r="N79" s="9" t="s">
        <v>29</v>
      </c>
      <c r="O79" s="9" t="s">
        <v>29</v>
      </c>
      <c r="P79" s="9" t="s">
        <v>29</v>
      </c>
      <c r="Q79" s="9" t="s">
        <v>29</v>
      </c>
      <c r="R79" s="10"/>
    </row>
    <row r="80" spans="1:18" ht="14.25">
      <c r="A80" s="41" t="s">
        <v>92</v>
      </c>
      <c r="D80" s="52">
        <v>4100000</v>
      </c>
      <c r="E80" s="43">
        <f>0.25*D80</f>
        <v>1025000</v>
      </c>
      <c r="F80" s="44">
        <f t="shared" si="9"/>
        <v>3075000</v>
      </c>
      <c r="G80" s="48" t="s">
        <v>36</v>
      </c>
      <c r="M80" s="9" t="s">
        <v>88</v>
      </c>
      <c r="N80" s="9" t="s">
        <v>29</v>
      </c>
      <c r="O80" s="9" t="s">
        <v>29</v>
      </c>
      <c r="P80" s="9" t="s">
        <v>29</v>
      </c>
      <c r="Q80" s="9" t="s">
        <v>29</v>
      </c>
      <c r="R80" s="10"/>
    </row>
    <row r="81" spans="1:18" ht="14.25">
      <c r="A81" s="41" t="s">
        <v>93</v>
      </c>
      <c r="D81" s="52">
        <v>2900000</v>
      </c>
      <c r="E81" s="43">
        <f>0.25*D81</f>
        <v>725000</v>
      </c>
      <c r="F81" s="44">
        <f t="shared" si="9"/>
        <v>2175000</v>
      </c>
      <c r="G81" s="48" t="s">
        <v>36</v>
      </c>
      <c r="M81" s="9" t="s">
        <v>88</v>
      </c>
      <c r="N81" s="9" t="s">
        <v>29</v>
      </c>
      <c r="O81" s="9" t="s">
        <v>29</v>
      </c>
      <c r="P81" s="9" t="s">
        <v>29</v>
      </c>
      <c r="Q81" s="9" t="s">
        <v>29</v>
      </c>
      <c r="R81" s="10"/>
    </row>
    <row r="82" spans="1:18" ht="15" thickBot="1">
      <c r="A82" s="56" t="s">
        <v>94</v>
      </c>
      <c r="D82" s="57">
        <v>2900000</v>
      </c>
      <c r="E82" s="58">
        <f>0.25*D82</f>
        <v>725000</v>
      </c>
      <c r="F82" s="59">
        <f t="shared" si="9"/>
        <v>2175000</v>
      </c>
      <c r="G82" s="60" t="s">
        <v>36</v>
      </c>
      <c r="M82" s="21" t="s">
        <v>88</v>
      </c>
      <c r="N82" s="11" t="s">
        <v>29</v>
      </c>
      <c r="O82" s="11" t="s">
        <v>29</v>
      </c>
      <c r="P82" s="11" t="s">
        <v>29</v>
      </c>
      <c r="Q82" s="11" t="s">
        <v>29</v>
      </c>
      <c r="R82" s="12"/>
    </row>
    <row r="83" spans="4:6" ht="14.25">
      <c r="D83" s="13"/>
      <c r="E83" s="13"/>
      <c r="F83" s="13"/>
    </row>
    <row r="84" spans="1:8" ht="14.25">
      <c r="A84" s="5" t="s">
        <v>75</v>
      </c>
      <c r="D84" s="13">
        <f>SUM(D77:D82)</f>
        <v>37700000</v>
      </c>
      <c r="E84" s="13">
        <f>SUM(E77:E82)</f>
        <v>12425000</v>
      </c>
      <c r="F84" s="13">
        <f>SUM(F77:F82)</f>
        <v>25275000</v>
      </c>
      <c r="G84" s="13"/>
      <c r="H84" s="13">
        <f>SUM(M78:M82)</f>
        <v>0</v>
      </c>
    </row>
    <row r="87" spans="1:5" ht="15.75" thickBot="1">
      <c r="A87" s="4" t="s">
        <v>95</v>
      </c>
      <c r="E87" s="13"/>
    </row>
    <row r="88" spans="1:17" ht="15" thickBot="1">
      <c r="A88" s="18"/>
      <c r="D88" s="14" t="s">
        <v>7</v>
      </c>
      <c r="E88" s="19" t="s">
        <v>86</v>
      </c>
      <c r="F88" s="19" t="s">
        <v>9</v>
      </c>
      <c r="G88" s="15" t="s">
        <v>10</v>
      </c>
      <c r="H88" s="15" t="s">
        <v>11</v>
      </c>
      <c r="I88" s="16" t="s">
        <v>12</v>
      </c>
      <c r="L88" s="15" t="s">
        <v>18</v>
      </c>
      <c r="M88" s="15" t="s">
        <v>19</v>
      </c>
      <c r="N88" s="15" t="s">
        <v>20</v>
      </c>
      <c r="O88" s="15" t="s">
        <v>21</v>
      </c>
      <c r="P88" s="16" t="s">
        <v>22</v>
      </c>
      <c r="Q88" s="16" t="s">
        <v>23</v>
      </c>
    </row>
    <row r="89" spans="1:17" ht="14.25">
      <c r="A89" s="41" t="s">
        <v>96</v>
      </c>
      <c r="D89" s="42">
        <v>24000000</v>
      </c>
      <c r="E89" s="43">
        <f>0.8*D89</f>
        <v>19200000</v>
      </c>
      <c r="F89" s="42">
        <v>24000000</v>
      </c>
      <c r="G89" s="44">
        <f aca="true" t="shared" si="10" ref="G89:G95">D89-E89</f>
        <v>4800000</v>
      </c>
      <c r="H89" s="44">
        <f aca="true" t="shared" si="11" ref="H89:H95">F89-E89</f>
        <v>4800000</v>
      </c>
      <c r="I89" s="45" t="s">
        <v>26</v>
      </c>
      <c r="L89" s="7" t="s">
        <v>88</v>
      </c>
      <c r="M89" s="7" t="s">
        <v>29</v>
      </c>
      <c r="N89" s="7" t="s">
        <v>29</v>
      </c>
      <c r="O89" s="7" t="s">
        <v>29</v>
      </c>
      <c r="P89" s="7" t="s">
        <v>29</v>
      </c>
      <c r="Q89" s="8"/>
    </row>
    <row r="90" spans="1:17" ht="14.25">
      <c r="A90" s="41" t="s">
        <v>161</v>
      </c>
      <c r="D90" s="42">
        <v>46000000</v>
      </c>
      <c r="E90" s="43">
        <f>0.6*D90</f>
        <v>27600000</v>
      </c>
      <c r="F90" s="42">
        <v>46000000</v>
      </c>
      <c r="G90" s="44">
        <f t="shared" si="10"/>
        <v>18400000</v>
      </c>
      <c r="H90" s="44">
        <f t="shared" si="11"/>
        <v>18400000</v>
      </c>
      <c r="I90" s="45" t="s">
        <v>36</v>
      </c>
      <c r="L90" s="7"/>
      <c r="M90" s="7"/>
      <c r="N90" s="7"/>
      <c r="O90" s="7"/>
      <c r="P90" s="7"/>
      <c r="Q90" s="8"/>
    </row>
    <row r="91" spans="1:17" ht="14.25">
      <c r="A91" s="41" t="s">
        <v>174</v>
      </c>
      <c r="D91" s="42">
        <v>14000000</v>
      </c>
      <c r="E91" s="43">
        <f>0.6*D91</f>
        <v>8400000</v>
      </c>
      <c r="F91" s="42">
        <v>14000000</v>
      </c>
      <c r="G91" s="44">
        <f t="shared" si="10"/>
        <v>5600000</v>
      </c>
      <c r="H91" s="44">
        <f t="shared" si="11"/>
        <v>5600000</v>
      </c>
      <c r="I91" s="45" t="s">
        <v>36</v>
      </c>
      <c r="L91" s="7"/>
      <c r="M91" s="7"/>
      <c r="N91" s="7"/>
      <c r="O91" s="7"/>
      <c r="P91" s="7"/>
      <c r="Q91" s="8"/>
    </row>
    <row r="92" spans="1:17" ht="14.25">
      <c r="A92" s="41" t="s">
        <v>97</v>
      </c>
      <c r="D92" s="42">
        <v>2000000</v>
      </c>
      <c r="E92" s="43">
        <f>0.5*D92</f>
        <v>1000000</v>
      </c>
      <c r="F92" s="42">
        <v>2000000</v>
      </c>
      <c r="G92" s="44">
        <f t="shared" si="10"/>
        <v>1000000</v>
      </c>
      <c r="H92" s="44">
        <f t="shared" si="11"/>
        <v>1000000</v>
      </c>
      <c r="I92" s="45" t="s">
        <v>36</v>
      </c>
      <c r="L92" s="7" t="s">
        <v>98</v>
      </c>
      <c r="M92" s="7" t="s">
        <v>38</v>
      </c>
      <c r="N92" s="7" t="s">
        <v>38</v>
      </c>
      <c r="O92" s="7" t="s">
        <v>38</v>
      </c>
      <c r="P92" s="7" t="s">
        <v>38</v>
      </c>
      <c r="Q92" s="8"/>
    </row>
    <row r="93" spans="1:17" ht="14.25">
      <c r="A93" s="80" t="s">
        <v>139</v>
      </c>
      <c r="D93" s="35">
        <v>30000000</v>
      </c>
      <c r="E93" s="36">
        <v>0</v>
      </c>
      <c r="F93" s="35">
        <v>15000000</v>
      </c>
      <c r="G93" s="37">
        <f t="shared" si="10"/>
        <v>30000000</v>
      </c>
      <c r="H93" s="37">
        <f t="shared" si="11"/>
        <v>15000000</v>
      </c>
      <c r="I93" s="38" t="s">
        <v>36</v>
      </c>
      <c r="L93" s="7"/>
      <c r="M93" s="7"/>
      <c r="N93" s="7"/>
      <c r="O93" s="7"/>
      <c r="P93" s="7"/>
      <c r="Q93" s="8"/>
    </row>
    <row r="94" spans="1:17" ht="14.25">
      <c r="A94" s="41" t="s">
        <v>140</v>
      </c>
      <c r="D94" s="42">
        <v>8000000</v>
      </c>
      <c r="E94" s="43">
        <v>2500000</v>
      </c>
      <c r="F94" s="42">
        <v>8000000</v>
      </c>
      <c r="G94" s="44">
        <f t="shared" si="10"/>
        <v>5500000</v>
      </c>
      <c r="H94" s="44">
        <f t="shared" si="11"/>
        <v>5500000</v>
      </c>
      <c r="I94" s="45" t="s">
        <v>36</v>
      </c>
      <c r="L94" s="7" t="s">
        <v>88</v>
      </c>
      <c r="M94" s="7" t="s">
        <v>29</v>
      </c>
      <c r="N94" s="7" t="s">
        <v>29</v>
      </c>
      <c r="O94" s="7" t="s">
        <v>29</v>
      </c>
      <c r="P94" s="7" t="s">
        <v>29</v>
      </c>
      <c r="Q94" s="8"/>
    </row>
    <row r="95" spans="1:17" ht="15" thickBot="1">
      <c r="A95" s="22" t="s">
        <v>99</v>
      </c>
      <c r="D95" s="20">
        <v>3000000</v>
      </c>
      <c r="E95" s="23">
        <f>0.5*D95</f>
        <v>1500000</v>
      </c>
      <c r="F95" s="20">
        <v>3000000</v>
      </c>
      <c r="G95" s="17">
        <f t="shared" si="10"/>
        <v>1500000</v>
      </c>
      <c r="H95" s="17">
        <f t="shared" si="11"/>
        <v>1500000</v>
      </c>
      <c r="I95" s="24" t="s">
        <v>36</v>
      </c>
      <c r="L95" s="9" t="s">
        <v>91</v>
      </c>
      <c r="M95" s="9" t="s">
        <v>29</v>
      </c>
      <c r="N95" s="9" t="s">
        <v>29</v>
      </c>
      <c r="O95" s="9" t="s">
        <v>29</v>
      </c>
      <c r="P95" s="9" t="s">
        <v>29</v>
      </c>
      <c r="Q95" s="10"/>
    </row>
    <row r="96" spans="4:8" ht="14.25">
      <c r="D96" s="13"/>
      <c r="E96" s="13"/>
      <c r="F96" s="13"/>
      <c r="G96" s="13"/>
      <c r="H96" s="13"/>
    </row>
    <row r="97" spans="1:9" ht="14.25">
      <c r="A97" s="5" t="s">
        <v>75</v>
      </c>
      <c r="D97" s="13">
        <f>SUM(D89:D95)</f>
        <v>127000000</v>
      </c>
      <c r="E97" s="13">
        <f>SUM(E89:E95)</f>
        <v>60200000</v>
      </c>
      <c r="F97" s="13">
        <f>SUM(F89:F95)</f>
        <v>112000000</v>
      </c>
      <c r="G97" s="13">
        <f>SUM(G89:G95)</f>
        <v>66800000</v>
      </c>
      <c r="H97" s="13">
        <f>SUM(H89:H95)</f>
        <v>51800000</v>
      </c>
      <c r="I97" s="13"/>
    </row>
    <row r="100" spans="1:5" ht="15.75" thickBot="1">
      <c r="A100" s="4" t="s">
        <v>100</v>
      </c>
      <c r="E100" s="13"/>
    </row>
    <row r="101" spans="1:17" ht="15" thickBot="1">
      <c r="A101" s="18"/>
      <c r="D101" s="14" t="s">
        <v>7</v>
      </c>
      <c r="E101" s="19" t="s">
        <v>86</v>
      </c>
      <c r="F101" s="15" t="s">
        <v>77</v>
      </c>
      <c r="G101" s="16" t="s">
        <v>12</v>
      </c>
      <c r="L101" s="15" t="s">
        <v>18</v>
      </c>
      <c r="M101" s="15" t="s">
        <v>19</v>
      </c>
      <c r="N101" s="15" t="s">
        <v>20</v>
      </c>
      <c r="O101" s="15" t="s">
        <v>21</v>
      </c>
      <c r="P101" s="16" t="s">
        <v>22</v>
      </c>
      <c r="Q101" s="16" t="s">
        <v>23</v>
      </c>
    </row>
    <row r="102" spans="1:17" ht="14.25">
      <c r="A102" s="41" t="s">
        <v>101</v>
      </c>
      <c r="D102" s="42">
        <v>11500000</v>
      </c>
      <c r="E102" s="43">
        <f>0.25*D102</f>
        <v>2875000</v>
      </c>
      <c r="F102" s="44">
        <f aca="true" t="shared" si="12" ref="F102:F112">D102-E102</f>
        <v>8625000</v>
      </c>
      <c r="G102" s="45" t="s">
        <v>26</v>
      </c>
      <c r="L102" s="7" t="s">
        <v>88</v>
      </c>
      <c r="M102" s="7" t="s">
        <v>29</v>
      </c>
      <c r="N102" s="7" t="s">
        <v>29</v>
      </c>
      <c r="O102" s="7" t="s">
        <v>29</v>
      </c>
      <c r="P102" s="7" t="s">
        <v>29</v>
      </c>
      <c r="Q102" s="8"/>
    </row>
    <row r="103" spans="1:17" ht="14.25">
      <c r="A103" s="41" t="s">
        <v>182</v>
      </c>
      <c r="D103" s="42"/>
      <c r="E103" s="43"/>
      <c r="F103" s="44">
        <v>2000000</v>
      </c>
      <c r="G103" s="45" t="s">
        <v>36</v>
      </c>
      <c r="L103" s="7"/>
      <c r="M103" s="7"/>
      <c r="N103" s="7"/>
      <c r="O103" s="7"/>
      <c r="P103" s="7"/>
      <c r="Q103" s="8"/>
    </row>
    <row r="104" spans="1:17" ht="14.25">
      <c r="A104" s="41" t="s">
        <v>102</v>
      </c>
      <c r="D104" s="42">
        <v>1600000</v>
      </c>
      <c r="E104" s="43">
        <v>0</v>
      </c>
      <c r="F104" s="44">
        <f t="shared" si="12"/>
        <v>1600000</v>
      </c>
      <c r="G104" s="45" t="s">
        <v>36</v>
      </c>
      <c r="L104" s="7" t="s">
        <v>88</v>
      </c>
      <c r="M104" s="7" t="s">
        <v>29</v>
      </c>
      <c r="N104" s="7" t="s">
        <v>29</v>
      </c>
      <c r="O104" s="7" t="s">
        <v>29</v>
      </c>
      <c r="P104" s="7" t="s">
        <v>29</v>
      </c>
      <c r="Q104" s="8"/>
    </row>
    <row r="105" spans="1:17" ht="14.25">
      <c r="A105" s="41" t="s">
        <v>103</v>
      </c>
      <c r="D105" s="42">
        <v>19000000</v>
      </c>
      <c r="E105" s="43">
        <f>0.7*D105</f>
        <v>13300000</v>
      </c>
      <c r="F105" s="44">
        <f t="shared" si="12"/>
        <v>5700000</v>
      </c>
      <c r="G105" s="45" t="s">
        <v>36</v>
      </c>
      <c r="L105" s="7" t="s">
        <v>88</v>
      </c>
      <c r="M105" s="7" t="s">
        <v>38</v>
      </c>
      <c r="N105" s="7" t="s">
        <v>38</v>
      </c>
      <c r="O105" s="7" t="s">
        <v>38</v>
      </c>
      <c r="P105" s="7" t="s">
        <v>38</v>
      </c>
      <c r="Q105" s="8"/>
    </row>
    <row r="106" spans="1:17" ht="14.25">
      <c r="A106" s="61" t="s">
        <v>104</v>
      </c>
      <c r="D106" s="62">
        <v>18000000</v>
      </c>
      <c r="E106" s="63">
        <f>0.5*D106</f>
        <v>9000000</v>
      </c>
      <c r="F106" s="64">
        <f t="shared" si="12"/>
        <v>9000000</v>
      </c>
      <c r="G106" s="65" t="s">
        <v>36</v>
      </c>
      <c r="L106" s="7" t="s">
        <v>88</v>
      </c>
      <c r="M106" s="7" t="s">
        <v>38</v>
      </c>
      <c r="N106" s="7" t="s">
        <v>38</v>
      </c>
      <c r="O106" s="7" t="s">
        <v>38</v>
      </c>
      <c r="P106" s="7" t="s">
        <v>38</v>
      </c>
      <c r="Q106" s="8"/>
    </row>
    <row r="107" spans="1:17" ht="14.25">
      <c r="A107" s="61" t="s">
        <v>181</v>
      </c>
      <c r="D107" s="62"/>
      <c r="E107" s="63"/>
      <c r="F107" s="64">
        <v>3500000</v>
      </c>
      <c r="G107" s="65" t="s">
        <v>36</v>
      </c>
      <c r="L107" s="7"/>
      <c r="M107" s="7"/>
      <c r="N107" s="7"/>
      <c r="O107" s="7"/>
      <c r="P107" s="7"/>
      <c r="Q107" s="8"/>
    </row>
    <row r="108" spans="1:17" ht="14.25">
      <c r="A108" s="41" t="s">
        <v>167</v>
      </c>
      <c r="D108" s="42">
        <v>280000000</v>
      </c>
      <c r="E108" s="43">
        <f>0.85*D108</f>
        <v>238000000</v>
      </c>
      <c r="F108" s="44">
        <f t="shared" si="12"/>
        <v>42000000</v>
      </c>
      <c r="G108" s="45" t="s">
        <v>168</v>
      </c>
      <c r="L108" s="7"/>
      <c r="M108" s="7"/>
      <c r="N108" s="7"/>
      <c r="O108" s="7"/>
      <c r="P108" s="7"/>
      <c r="Q108" s="8"/>
    </row>
    <row r="109" spans="1:17" ht="14.25">
      <c r="A109" s="61" t="s">
        <v>105</v>
      </c>
      <c r="D109" s="62">
        <v>8000000</v>
      </c>
      <c r="E109" s="63">
        <v>4000000</v>
      </c>
      <c r="F109" s="64">
        <f t="shared" si="12"/>
        <v>4000000</v>
      </c>
      <c r="G109" s="65" t="s">
        <v>36</v>
      </c>
      <c r="L109" s="7"/>
      <c r="M109" s="7"/>
      <c r="N109" s="7"/>
      <c r="O109" s="7"/>
      <c r="P109" s="7"/>
      <c r="Q109" s="8"/>
    </row>
    <row r="110" spans="1:17" ht="14.25">
      <c r="A110" s="61" t="s">
        <v>106</v>
      </c>
      <c r="D110" s="62">
        <v>8500000</v>
      </c>
      <c r="E110" s="63">
        <v>3500000</v>
      </c>
      <c r="F110" s="64">
        <f>D110-E110</f>
        <v>5000000</v>
      </c>
      <c r="G110" s="65" t="s">
        <v>36</v>
      </c>
      <c r="L110" s="7"/>
      <c r="M110" s="7"/>
      <c r="N110" s="7"/>
      <c r="O110" s="7"/>
      <c r="P110" s="7"/>
      <c r="Q110" s="8"/>
    </row>
    <row r="111" spans="1:17" ht="14.25">
      <c r="A111" s="41" t="s">
        <v>107</v>
      </c>
      <c r="D111" s="42">
        <v>4500000</v>
      </c>
      <c r="E111" s="43">
        <f>0.8*D111</f>
        <v>3600000</v>
      </c>
      <c r="F111" s="44">
        <f t="shared" si="12"/>
        <v>900000</v>
      </c>
      <c r="G111" s="45" t="s">
        <v>36</v>
      </c>
      <c r="L111" s="7" t="s">
        <v>88</v>
      </c>
      <c r="M111" s="7" t="s">
        <v>29</v>
      </c>
      <c r="N111" s="7" t="s">
        <v>38</v>
      </c>
      <c r="O111" s="7" t="s">
        <v>38</v>
      </c>
      <c r="P111" s="7" t="s">
        <v>38</v>
      </c>
      <c r="Q111" s="8"/>
    </row>
    <row r="112" spans="1:17" ht="15" thickBot="1">
      <c r="A112" s="76" t="s">
        <v>108</v>
      </c>
      <c r="D112" s="57">
        <v>1000000</v>
      </c>
      <c r="E112" s="77">
        <v>0</v>
      </c>
      <c r="F112" s="78">
        <f t="shared" si="12"/>
        <v>1000000</v>
      </c>
      <c r="G112" s="79" t="s">
        <v>36</v>
      </c>
      <c r="L112" s="9" t="s">
        <v>91</v>
      </c>
      <c r="M112" s="9" t="s">
        <v>29</v>
      </c>
      <c r="N112" s="9" t="s">
        <v>29</v>
      </c>
      <c r="O112" s="9" t="s">
        <v>29</v>
      </c>
      <c r="P112" s="9" t="s">
        <v>29</v>
      </c>
      <c r="Q112" s="10"/>
    </row>
    <row r="113" spans="4:6" ht="14.25">
      <c r="D113" s="13"/>
      <c r="E113" s="13"/>
      <c r="F113" s="13"/>
    </row>
    <row r="114" spans="1:7" ht="14.25">
      <c r="A114" s="5" t="s">
        <v>75</v>
      </c>
      <c r="D114" s="13">
        <f>SUM(D102:D112)</f>
        <v>352100000</v>
      </c>
      <c r="E114" s="13">
        <f>SUM(E102:E112)</f>
        <v>274275000</v>
      </c>
      <c r="F114" s="13">
        <f>SUM(F102:F112)</f>
        <v>83325000</v>
      </c>
      <c r="G114" s="13"/>
    </row>
    <row r="115" spans="1:7" ht="14.25">
      <c r="A115" s="5"/>
      <c r="D115" s="13"/>
      <c r="E115" s="13"/>
      <c r="F115" s="13"/>
      <c r="G115" s="13"/>
    </row>
    <row r="116" spans="2:4" ht="14.25">
      <c r="B116" s="25" t="s">
        <v>109</v>
      </c>
      <c r="C116" s="25" t="s">
        <v>110</v>
      </c>
      <c r="D116" s="25"/>
    </row>
    <row r="117" spans="1:4" ht="14.25">
      <c r="A117" s="5" t="s">
        <v>111</v>
      </c>
      <c r="B117" s="13">
        <f>D59+D73+D84+D97+D114</f>
        <v>780465198.77</v>
      </c>
      <c r="C117" s="13">
        <f>SUM(E59,H59,E73,H73,E84,F84,E97,H97,E114,F114)</f>
        <v>640866000</v>
      </c>
      <c r="D117" s="13"/>
    </row>
    <row r="118" spans="1:4" ht="14.25">
      <c r="A118" s="5" t="s">
        <v>112</v>
      </c>
      <c r="B118" s="13">
        <f>E59+E73+E84+E97+E114</f>
        <v>398900000</v>
      </c>
      <c r="C118" s="13">
        <f>E59+E73+E84+E97+E114</f>
        <v>398900000</v>
      </c>
      <c r="D118" s="13"/>
    </row>
    <row r="119" spans="1:4" ht="14.25">
      <c r="A119" s="5" t="s">
        <v>113</v>
      </c>
      <c r="B119" s="13">
        <f>B117-B118</f>
        <v>381565198.77</v>
      </c>
      <c r="C119" s="13">
        <f>C117-C118</f>
        <v>241966000</v>
      </c>
      <c r="D119" s="13"/>
    </row>
    <row r="120" spans="1:4" ht="14.25">
      <c r="A120" s="26" t="s">
        <v>114</v>
      </c>
      <c r="B120" s="27">
        <f>G59</f>
        <v>194165198.76999998</v>
      </c>
      <c r="C120" s="27">
        <f>H59</f>
        <v>69466000</v>
      </c>
      <c r="D120" s="27"/>
    </row>
    <row r="121" spans="1:4" ht="14.25">
      <c r="A121" s="26" t="s">
        <v>115</v>
      </c>
      <c r="B121" s="27">
        <f>G73</f>
        <v>17500000</v>
      </c>
      <c r="C121" s="27">
        <f>H73</f>
        <v>12100000</v>
      </c>
      <c r="D121" s="27"/>
    </row>
    <row r="122" spans="1:4" ht="14.25">
      <c r="A122" s="26" t="s">
        <v>116</v>
      </c>
      <c r="B122" s="27">
        <f>G97</f>
        <v>66800000</v>
      </c>
      <c r="C122" s="27">
        <f>G97</f>
        <v>66800000</v>
      </c>
      <c r="D122" s="27"/>
    </row>
    <row r="123" spans="1:4" ht="14.25">
      <c r="A123" s="26" t="s">
        <v>117</v>
      </c>
      <c r="B123" s="27">
        <f>F114</f>
        <v>83325000</v>
      </c>
      <c r="C123" s="27">
        <f>F114</f>
        <v>83325000</v>
      </c>
      <c r="D123" s="27"/>
    </row>
    <row r="124" spans="1:4" ht="14.25">
      <c r="A124" s="26" t="s">
        <v>118</v>
      </c>
      <c r="B124" s="27">
        <f>F84</f>
        <v>25275000</v>
      </c>
      <c r="C124" s="27">
        <f>F84</f>
        <v>25275000</v>
      </c>
      <c r="D124" s="27"/>
    </row>
    <row r="126" spans="1:4" ht="14.25">
      <c r="A126" s="5" t="s">
        <v>119</v>
      </c>
      <c r="B126" s="13">
        <v>40000000</v>
      </c>
      <c r="C126" s="13">
        <f>B126</f>
        <v>40000000</v>
      </c>
      <c r="D126" s="13"/>
    </row>
    <row r="127" spans="1:4" ht="14.25">
      <c r="A127" s="5" t="s">
        <v>173</v>
      </c>
      <c r="B127" s="13">
        <v>20000000</v>
      </c>
      <c r="C127" s="13">
        <v>20000000</v>
      </c>
      <c r="D127" s="13"/>
    </row>
    <row r="128" spans="1:4" ht="14.25">
      <c r="A128" s="5" t="s">
        <v>169</v>
      </c>
      <c r="B128" s="13">
        <v>20000000</v>
      </c>
      <c r="C128" s="13">
        <v>20000000</v>
      </c>
      <c r="D128" s="13"/>
    </row>
    <row r="130" spans="1:4" ht="14.25">
      <c r="A130" s="5" t="s">
        <v>120</v>
      </c>
      <c r="B130" s="28">
        <f>B119-SUM(B126:B128)</f>
        <v>301565198.77</v>
      </c>
      <c r="C130" s="28">
        <f>C119-SUM(C126:C128)</f>
        <v>161966000</v>
      </c>
      <c r="D130" s="28"/>
    </row>
    <row r="132" ht="14.25">
      <c r="A132" s="5" t="s">
        <v>121</v>
      </c>
    </row>
    <row r="133" spans="1:4" ht="14.25">
      <c r="A133" s="26" t="s">
        <v>122</v>
      </c>
      <c r="B133" s="13">
        <v>10000000</v>
      </c>
      <c r="C133" s="13">
        <v>10000000</v>
      </c>
      <c r="D133" s="13"/>
    </row>
    <row r="134" spans="1:4" ht="14.25">
      <c r="A134" s="26" t="s">
        <v>123</v>
      </c>
      <c r="B134" s="13">
        <f>35000000</f>
        <v>35000000</v>
      </c>
      <c r="C134" s="13">
        <f>35000000</f>
        <v>35000000</v>
      </c>
      <c r="D134" s="13"/>
    </row>
    <row r="135" spans="1:4" ht="14.25">
      <c r="A135" s="26" t="s">
        <v>124</v>
      </c>
      <c r="B135" s="29">
        <f>33000*1800*0.7</f>
        <v>41580000</v>
      </c>
      <c r="C135" s="29">
        <f>33000*1800*0.7</f>
        <v>41580000</v>
      </c>
      <c r="D135" s="29"/>
    </row>
    <row r="136" spans="1:4" ht="14.25">
      <c r="A136" s="26" t="s">
        <v>125</v>
      </c>
      <c r="B136" s="13">
        <f>15000*780</f>
        <v>11700000</v>
      </c>
      <c r="C136" s="13">
        <f>15000*780</f>
        <v>11700000</v>
      </c>
      <c r="D136" s="13"/>
    </row>
    <row r="137" spans="1:4" ht="14.25">
      <c r="A137" s="29"/>
      <c r="B137" s="13"/>
      <c r="C137" s="13"/>
      <c r="D137" s="13"/>
    </row>
    <row r="138" spans="1:4" ht="14.25">
      <c r="A138" s="5" t="s">
        <v>126</v>
      </c>
      <c r="B138" s="13">
        <f>SUM(B133:B134,B136)</f>
        <v>56700000</v>
      </c>
      <c r="C138" s="13">
        <f>SUM(C133:C134,C136)</f>
        <v>56700000</v>
      </c>
      <c r="D138" s="13"/>
    </row>
    <row r="139" spans="1:4" ht="14.25">
      <c r="A139" s="5" t="s">
        <v>127</v>
      </c>
      <c r="B139" s="13">
        <f>SUM(B133,B135,B136)</f>
        <v>63280000</v>
      </c>
      <c r="C139" s="13">
        <f>SUM(C133,C135,C136)</f>
        <v>63280000</v>
      </c>
      <c r="D139" s="13"/>
    </row>
    <row r="140" spans="2:4" ht="14.25">
      <c r="B140" s="13"/>
      <c r="C140" s="13"/>
      <c r="D140" s="13"/>
    </row>
    <row r="141" spans="1:4" ht="14.25">
      <c r="A141" s="5" t="s">
        <v>128</v>
      </c>
      <c r="B141" s="13">
        <v>77000000</v>
      </c>
      <c r="C141" s="13">
        <v>77000000</v>
      </c>
      <c r="D141" s="13"/>
    </row>
    <row r="142" spans="1:4" ht="14.25">
      <c r="A142" s="5" t="s">
        <v>129</v>
      </c>
      <c r="B142" s="13">
        <v>145000000</v>
      </c>
      <c r="C142" s="13">
        <v>145000000</v>
      </c>
      <c r="D142" s="13"/>
    </row>
    <row r="144" spans="1:4" ht="14.25">
      <c r="A144" s="5" t="s">
        <v>130</v>
      </c>
      <c r="B144" s="13">
        <f>B142-B141</f>
        <v>68000000</v>
      </c>
      <c r="C144" s="13">
        <f>C142-C141</f>
        <v>68000000</v>
      </c>
      <c r="D144" s="13"/>
    </row>
    <row r="145" spans="1:4" ht="14.25">
      <c r="A145" s="2" t="s">
        <v>131</v>
      </c>
      <c r="B145" s="13">
        <f>4*10908000</f>
        <v>43632000</v>
      </c>
      <c r="C145" s="13">
        <f>4*10908000</f>
        <v>43632000</v>
      </c>
      <c r="D145" s="13"/>
    </row>
    <row r="146" spans="2:4" ht="14.25">
      <c r="B146" s="13"/>
      <c r="C146" s="13"/>
      <c r="D146" s="13"/>
    </row>
    <row r="147" spans="1:4" ht="14.25">
      <c r="A147" s="5" t="s">
        <v>132</v>
      </c>
      <c r="B147" s="28">
        <f>SUM(B144:B145)</f>
        <v>111632000</v>
      </c>
      <c r="C147" s="28">
        <f>SUM(C144:C145)</f>
        <v>111632000</v>
      </c>
      <c r="D147" s="28"/>
    </row>
    <row r="149" spans="1:4" ht="14.25">
      <c r="A149" s="5" t="s">
        <v>133</v>
      </c>
      <c r="B149" s="30">
        <f>B147-B130</f>
        <v>-189933198.76999998</v>
      </c>
      <c r="C149" s="30">
        <f>C147-C130</f>
        <v>-50334000</v>
      </c>
      <c r="D149" s="30"/>
    </row>
    <row r="151" ht="22.5">
      <c r="A151" s="33" t="s">
        <v>179</v>
      </c>
    </row>
    <row r="153" spans="1:3" ht="14.25">
      <c r="A153" s="5" t="s">
        <v>170</v>
      </c>
      <c r="B153" s="5" t="s">
        <v>171</v>
      </c>
      <c r="C153" s="5" t="s">
        <v>77</v>
      </c>
    </row>
    <row r="154" spans="1:3" ht="14.25">
      <c r="A154" s="6"/>
      <c r="B154" s="27"/>
      <c r="C154" s="27"/>
    </row>
    <row r="155" spans="1:3" ht="14.25">
      <c r="A155" s="81" t="s">
        <v>138</v>
      </c>
      <c r="B155" s="82">
        <f>D69</f>
        <v>3000000</v>
      </c>
      <c r="C155" s="82">
        <f>H69</f>
        <v>1500000</v>
      </c>
    </row>
    <row r="156" spans="1:3" ht="14.25">
      <c r="A156" s="81" t="str">
        <f>A21</f>
        <v>Fibichova</v>
      </c>
      <c r="B156" s="82">
        <f>D21</f>
        <v>5401730.399999999</v>
      </c>
      <c r="C156" s="82">
        <f>H21</f>
        <v>900000</v>
      </c>
    </row>
    <row r="157" spans="1:3" ht="14.25">
      <c r="A157" s="81" t="str">
        <f>A25</f>
        <v>Na Ztraceném Korci</v>
      </c>
      <c r="B157" s="82">
        <f>D25</f>
        <v>1760368.5</v>
      </c>
      <c r="C157" s="82">
        <f>H25</f>
        <v>180000</v>
      </c>
    </row>
    <row r="158" spans="1:3" ht="14.25">
      <c r="A158" s="81" t="str">
        <f>A26</f>
        <v>Kupkova</v>
      </c>
      <c r="B158" s="82">
        <f>D26</f>
        <v>2477003.1</v>
      </c>
      <c r="C158" s="82">
        <f>H26</f>
        <v>550000</v>
      </c>
    </row>
    <row r="159" spans="1:3" ht="14.25">
      <c r="A159" s="81" t="str">
        <f>A38</f>
        <v>Táboritská</v>
      </c>
      <c r="B159" s="82">
        <f>D38</f>
        <v>4200000</v>
      </c>
      <c r="C159" s="82">
        <f>H38</f>
        <v>1500000</v>
      </c>
    </row>
    <row r="160" spans="1:3" ht="14.25">
      <c r="A160" s="81" t="str">
        <f>A46</f>
        <v>E.E.Kische</v>
      </c>
      <c r="B160" s="82">
        <f>D46</f>
        <v>2809620</v>
      </c>
      <c r="C160" s="82">
        <f>H46</f>
        <v>480000</v>
      </c>
    </row>
    <row r="161" spans="1:3" ht="14.25">
      <c r="A161" s="81" t="str">
        <f>A56</f>
        <v>Srbská</v>
      </c>
      <c r="B161" s="82">
        <f>D56</f>
        <v>7500000</v>
      </c>
      <c r="C161" s="82">
        <f>H56</f>
        <v>1200000</v>
      </c>
    </row>
    <row r="162" spans="1:3" ht="14.25">
      <c r="A162" s="81" t="str">
        <f>A68</f>
        <v>Cyklostezka - propojení Mánesova - koupaliště - Muchova</v>
      </c>
      <c r="B162" s="82">
        <f>D68</f>
        <v>2400000</v>
      </c>
      <c r="C162" s="82">
        <f>H68</f>
        <v>1200000</v>
      </c>
    </row>
    <row r="163" spans="1:3" ht="14.25">
      <c r="A163" s="81" t="s">
        <v>83</v>
      </c>
      <c r="B163" s="82">
        <f>D70</f>
        <v>3000000</v>
      </c>
      <c r="C163" s="82">
        <f>H70</f>
        <v>900000</v>
      </c>
    </row>
    <row r="164" spans="1:3" ht="14.25">
      <c r="A164" s="81" t="s">
        <v>84</v>
      </c>
      <c r="B164" s="82">
        <f>D71</f>
        <v>1400000</v>
      </c>
      <c r="C164" s="82">
        <f>H71</f>
        <v>400000</v>
      </c>
    </row>
    <row r="165" spans="1:3" ht="14.25">
      <c r="A165" s="81" t="s">
        <v>177</v>
      </c>
      <c r="B165" s="82">
        <f>D109</f>
        <v>8000000</v>
      </c>
      <c r="C165" s="82">
        <f>F109</f>
        <v>4000000</v>
      </c>
    </row>
    <row r="166" spans="1:3" ht="14.25">
      <c r="A166" s="81" t="s">
        <v>178</v>
      </c>
      <c r="B166" s="82">
        <f>D110</f>
        <v>8500000</v>
      </c>
      <c r="C166" s="82">
        <f>F110</f>
        <v>5000000</v>
      </c>
    </row>
    <row r="167" spans="1:3" ht="14.25">
      <c r="A167" s="81" t="str">
        <f>A67</f>
        <v>Cyklostezka - přemostění I/12 </v>
      </c>
      <c r="B167" s="82">
        <f>D67</f>
        <v>12000000</v>
      </c>
      <c r="C167" s="82">
        <f>H67</f>
        <v>3600000</v>
      </c>
    </row>
    <row r="168" spans="1:3" ht="14.25">
      <c r="A168" s="81" t="str">
        <f>A106</f>
        <v>Zateplení ZŠ Úvaly budova B</v>
      </c>
      <c r="B168" s="82">
        <f>D106</f>
        <v>18000000</v>
      </c>
      <c r="C168" s="82">
        <f>F106</f>
        <v>9000000</v>
      </c>
    </row>
    <row r="169" spans="1:3" ht="14.25">
      <c r="A169" s="6"/>
      <c r="B169" s="27"/>
      <c r="C169" s="27"/>
    </row>
    <row r="170" spans="1:3" ht="22.5">
      <c r="A170" s="33" t="s">
        <v>180</v>
      </c>
      <c r="B170" s="27"/>
      <c r="C170" s="27"/>
    </row>
    <row r="171" spans="1:3" ht="14.25">
      <c r="A171" s="6"/>
      <c r="B171" s="27"/>
      <c r="C171" s="27"/>
    </row>
    <row r="172" spans="1:3" ht="14.25">
      <c r="A172" s="83" t="s">
        <v>139</v>
      </c>
      <c r="B172" s="84">
        <f>D93</f>
        <v>30000000</v>
      </c>
      <c r="C172" s="84">
        <f>H93</f>
        <v>15000000</v>
      </c>
    </row>
    <row r="173" spans="1:3" ht="14.25">
      <c r="A173" s="83" t="s">
        <v>90</v>
      </c>
      <c r="B173" s="84">
        <f>D79</f>
        <v>12000000</v>
      </c>
      <c r="C173" s="84">
        <f>F79</f>
        <v>6000000</v>
      </c>
    </row>
    <row r="174" spans="1:3" ht="14.25">
      <c r="A174" s="6"/>
      <c r="C174" s="27"/>
    </row>
    <row r="175" spans="1:3" ht="21">
      <c r="A175" s="32" t="s">
        <v>133</v>
      </c>
      <c r="C175" s="119">
        <f>C149+SUM(C155:C168,C172:C173)</f>
        <v>1076000</v>
      </c>
    </row>
    <row r="176" spans="1:3" ht="14.25">
      <c r="A176" s="6"/>
      <c r="C176" s="27"/>
    </row>
    <row r="177" spans="1:3" ht="14.25">
      <c r="A177" s="6"/>
      <c r="C177" s="27"/>
    </row>
    <row r="178" spans="1:3" ht="14.25">
      <c r="A178" s="6"/>
      <c r="C178" s="27"/>
    </row>
    <row r="179" spans="1:3" ht="14.25">
      <c r="A179" s="6"/>
      <c r="C179" s="27"/>
    </row>
  </sheetData>
  <sheetProtection/>
  <mergeCells count="1">
    <mergeCell ref="J5:N5"/>
  </mergeCells>
  <printOptions/>
  <pageMargins left="0.7" right="0.7" top="0.787401575" bottom="0.787401575" header="0.3" footer="0.3"/>
  <pageSetup horizontalDpi="300" verticalDpi="300" orientation="portrait" paperSize="9" r:id="rId1"/>
  <ignoredErrors>
    <ignoredError sqref="D25 E7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 Kimbembe</dc:creator>
  <cp:keywords/>
  <dc:description/>
  <cp:lastModifiedBy>EDALEWA</cp:lastModifiedBy>
  <cp:lastPrinted>2016-05-26T07:21:27Z</cp:lastPrinted>
  <dcterms:created xsi:type="dcterms:W3CDTF">2016-05-23T08:38:15Z</dcterms:created>
  <dcterms:modified xsi:type="dcterms:W3CDTF">2016-09-09T21:57:58Z</dcterms:modified>
  <cp:category/>
  <cp:version/>
  <cp:contentType/>
  <cp:contentStatus/>
</cp:coreProperties>
</file>